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 filterPrivacy="1"/>
  <bookViews>
    <workbookView xWindow="0" yWindow="0" windowWidth="28770" windowHeight="12270" firstSheet="3" activeTab="5"/>
  </bookViews>
  <sheets>
    <sheet name="Izvorno_3" sheetId="1" state="hidden" r:id="rId1"/>
    <sheet name="Ostvarenje_2025_Arh_Prava" sheetId="3" state="hidden" r:id="rId2"/>
    <sheet name="Sheet2" sheetId="4" state="hidden" r:id="rId3"/>
    <sheet name="Sažetak" sheetId="16" r:id="rId4"/>
    <sheet name="Po kontima" sheetId="15" r:id="rId5"/>
    <sheet name="Po izvorima" sheetId="19" r:id="rId6"/>
    <sheet name="Funkcionalna" sheetId="13" r:id="rId7"/>
    <sheet name="Posebni_Dio" sheetId="12" r:id="rId8"/>
    <sheet name="CTRL" sheetId="17" state="hidden" r:id="rId9"/>
    <sheet name="Ctrl_Po izvorima" sheetId="14" state="hidden" r:id="rId10"/>
    <sheet name="Posebni_Dio_Bck_Up" sheetId="23" state="hidden" r:id="rId11"/>
    <sheet name="Za usporedbu" sheetId="21" state="hidden" r:id="rId12"/>
    <sheet name="Sheet1" sheetId="22" state="hidden" r:id="rId13"/>
    <sheet name="SYS" sheetId="20" state="hidden" r:id="rId14"/>
    <sheet name="Posebni dio-programska_2024" sheetId="18" state="hidden" r:id="rId15"/>
    <sheet name="KGZ-Real_RAS_2025_02" sheetId="11" state="hidden" r:id="rId16"/>
    <sheet name="KGZ-Real_RAS_2025_01" sheetId="8" state="hidden" r:id="rId17"/>
    <sheet name="KGZ_Real_PRI_2025" sheetId="10" state="hidden" r:id="rId18"/>
    <sheet name="Nova konta" sheetId="9" state="hidden" r:id="rId19"/>
    <sheet name="Ostvarenje_Po_Prog" sheetId="5" state="hidden" r:id="rId20"/>
    <sheet name="Ostvarenje_2025 (2)" sheetId="7" state="hidden" r:id="rId21"/>
    <sheet name="Izvorno_6" sheetId="2" state="hidden" r:id="rId22"/>
  </sheets>
  <externalReferences>
    <externalReference r:id="rId23"/>
    <externalReference r:id="rId24"/>
    <externalReference r:id="rId25"/>
    <externalReference r:id="rId26"/>
    <externalReference r:id="rId27"/>
  </externalReferences>
  <definedNames>
    <definedName name="_xlnm._FilterDatabase" localSheetId="16" hidden="1">'KGZ-Real_RAS_2025_01'!$F$12:$X$205</definedName>
    <definedName name="_xlnm._FilterDatabase" localSheetId="15" hidden="1">'KGZ-Real_RAS_2025_02'!$F$10:$J$202</definedName>
    <definedName name="_xlnm._FilterDatabase" localSheetId="20" hidden="1">'Ostvarenje_2025 (2)'!$F$11:$U$183</definedName>
    <definedName name="_xlnm._FilterDatabase" localSheetId="1" hidden="1">Ostvarenje_2025_Arh_Prava!$F$13:$W$206</definedName>
    <definedName name="_xlnm._FilterDatabase" localSheetId="14" hidden="1">'Posebni dio-programska_2024'!$A$40:$I$215</definedName>
    <definedName name="_xlnm._FilterDatabase" localSheetId="11" hidden="1">'Za usporedbu'!$G$38:$AF$231</definedName>
    <definedName name="_xlnm.Print_Titles" localSheetId="9">'Ctrl_Po izvorima'!$1:$5</definedName>
    <definedName name="_xlnm.Print_Titles" localSheetId="6">Funkcionalna!$1:$5</definedName>
    <definedName name="_xlnm.Print_Titles" localSheetId="0">Izvorno_3!$1:$1</definedName>
    <definedName name="_xlnm.Print_Titles" localSheetId="15">'KGZ-Real_RAS_2025_02'!$1:$5</definedName>
    <definedName name="_xlnm.Print_Titles" localSheetId="20">'Ostvarenje_2025 (2)'!#REF!</definedName>
    <definedName name="_xlnm.Print_Titles" localSheetId="1">Ostvarenje_2025_Arh_Prava!#REF!</definedName>
    <definedName name="_xlnm.Print_Titles" localSheetId="5">'Po izvorima'!$1:$5</definedName>
    <definedName name="_xlnm.Print_Titles" localSheetId="4">'Po kontima'!$1:$5</definedName>
    <definedName name="_xlnm.Print_Titles" localSheetId="14">'Posebni dio-programska_2024'!$10:$11</definedName>
    <definedName name="_xlnm.Print_Titles" localSheetId="7">Posebni_Dio!$1:$5</definedName>
    <definedName name="_xlnm.Print_Titles" localSheetId="10">Posebni_Dio_Bck_Up!$1:$5</definedName>
    <definedName name="_xlnm.Print_Titles" localSheetId="3">Sažetak!$1:$5</definedName>
    <definedName name="_xlnm.Print_Titles" localSheetId="11">'Za usporedbu'!$1:$5</definedName>
    <definedName name="_xlnm.Print_Area" localSheetId="9">'Ctrl_Po izvorima'!$A$1:$D$18</definedName>
    <definedName name="_xlnm.Print_Area" localSheetId="6">Funkcionalna!$A$1:$G$13</definedName>
    <definedName name="_xlnm.Print_Area" localSheetId="16">'KGZ-Real_RAS_2025_01'!$F$1:$V$205</definedName>
    <definedName name="_xlnm.Print_Area" localSheetId="15">'KGZ-Real_RAS_2025_02'!$F$1:$J$202</definedName>
    <definedName name="_xlnm.Print_Area" localSheetId="5">'Po izvorima'!$A$1:$G$28</definedName>
    <definedName name="_xlnm.Print_Area" localSheetId="4">'Po kontima'!$A$1:$G$68</definedName>
    <definedName name="_xlnm.Print_Area" localSheetId="14">'Posebni dio-programska_2024'!$A$2:$F$215</definedName>
    <definedName name="_xlnm.Print_Area" localSheetId="7">Posebni_Dio!$H$1:$N$267</definedName>
    <definedName name="_xlnm.Print_Area" localSheetId="10">Posebni_Dio_Bck_Up!$H$1:$N$267</definedName>
    <definedName name="_xlnm.Print_Area" localSheetId="3">Sažetak!$A$1:$G$13</definedName>
    <definedName name="_xlnm.Print_Area" localSheetId="11">'Za usporedbu'!$G$1:$M$231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7" l="1"/>
  <c r="T266" i="23" l="1"/>
  <c r="L266" i="23" s="1"/>
  <c r="L265" i="23" s="1"/>
  <c r="K266" i="23"/>
  <c r="N266" i="23" s="1"/>
  <c r="G266" i="23"/>
  <c r="F266" i="23"/>
  <c r="E266" i="23"/>
  <c r="A266" i="23"/>
  <c r="J266" i="23" s="1"/>
  <c r="T264" i="23"/>
  <c r="L264" i="23"/>
  <c r="K264" i="23"/>
  <c r="G264" i="23"/>
  <c r="F264" i="23"/>
  <c r="E264" i="23"/>
  <c r="A264" i="23"/>
  <c r="J264" i="23" s="1"/>
  <c r="T263" i="23"/>
  <c r="L263" i="23" s="1"/>
  <c r="K263" i="23"/>
  <c r="N263" i="23" s="1"/>
  <c r="G263" i="23"/>
  <c r="F263" i="23"/>
  <c r="E263" i="23"/>
  <c r="A263" i="23"/>
  <c r="J263" i="23" s="1"/>
  <c r="M263" i="23" s="1"/>
  <c r="P262" i="23"/>
  <c r="O262" i="23"/>
  <c r="T261" i="23"/>
  <c r="L261" i="23"/>
  <c r="K261" i="23"/>
  <c r="N261" i="23" s="1"/>
  <c r="G261" i="23"/>
  <c r="F261" i="23"/>
  <c r="E261" i="23"/>
  <c r="A261" i="23"/>
  <c r="J261" i="23" s="1"/>
  <c r="M261" i="23" s="1"/>
  <c r="T260" i="23"/>
  <c r="L260" i="23" s="1"/>
  <c r="K260" i="23"/>
  <c r="N260" i="23" s="1"/>
  <c r="G260" i="23"/>
  <c r="F260" i="23"/>
  <c r="E260" i="23"/>
  <c r="A260" i="23"/>
  <c r="J260" i="23" s="1"/>
  <c r="M260" i="23" s="1"/>
  <c r="T259" i="23"/>
  <c r="L259" i="23"/>
  <c r="K259" i="23"/>
  <c r="N259" i="23" s="1"/>
  <c r="G259" i="23"/>
  <c r="F259" i="23"/>
  <c r="E259" i="23"/>
  <c r="A259" i="23"/>
  <c r="J259" i="23" s="1"/>
  <c r="M259" i="23" s="1"/>
  <c r="T257" i="23"/>
  <c r="G257" i="23"/>
  <c r="F257" i="23"/>
  <c r="E257" i="23"/>
  <c r="A257" i="23"/>
  <c r="J257" i="23" s="1"/>
  <c r="T256" i="23"/>
  <c r="L256" i="23"/>
  <c r="K256" i="23"/>
  <c r="N256" i="23" s="1"/>
  <c r="G256" i="23"/>
  <c r="F256" i="23"/>
  <c r="E256" i="23"/>
  <c r="A256" i="23"/>
  <c r="J256" i="23" s="1"/>
  <c r="M256" i="23" s="1"/>
  <c r="T255" i="23"/>
  <c r="L255" i="23" s="1"/>
  <c r="K255" i="23"/>
  <c r="G255" i="23"/>
  <c r="F255" i="23"/>
  <c r="E255" i="23"/>
  <c r="A255" i="23"/>
  <c r="J255" i="23" s="1"/>
  <c r="T253" i="23"/>
  <c r="L253" i="23" s="1"/>
  <c r="K253" i="23"/>
  <c r="G253" i="23"/>
  <c r="F253" i="23"/>
  <c r="E253" i="23"/>
  <c r="A253" i="23"/>
  <c r="J253" i="23" s="1"/>
  <c r="M253" i="23" s="1"/>
  <c r="T252" i="23"/>
  <c r="L252" i="23"/>
  <c r="K252" i="23"/>
  <c r="N252" i="23" s="1"/>
  <c r="G252" i="23"/>
  <c r="F252" i="23"/>
  <c r="E252" i="23"/>
  <c r="A252" i="23"/>
  <c r="J252" i="23" s="1"/>
  <c r="M252" i="23" s="1"/>
  <c r="T251" i="23"/>
  <c r="L251" i="23" s="1"/>
  <c r="K251" i="23"/>
  <c r="G251" i="23"/>
  <c r="F251" i="23"/>
  <c r="E251" i="23"/>
  <c r="A251" i="23"/>
  <c r="J251" i="23" s="1"/>
  <c r="R250" i="23"/>
  <c r="Q250" i="23"/>
  <c r="P250" i="23"/>
  <c r="O250" i="23"/>
  <c r="T249" i="23"/>
  <c r="L249" i="23"/>
  <c r="K249" i="23"/>
  <c r="N249" i="23" s="1"/>
  <c r="G249" i="23"/>
  <c r="F249" i="23"/>
  <c r="E249" i="23"/>
  <c r="A249" i="23"/>
  <c r="J249" i="23" s="1"/>
  <c r="M249" i="23" s="1"/>
  <c r="T248" i="23"/>
  <c r="L248" i="23"/>
  <c r="K248" i="23"/>
  <c r="N248" i="23" s="1"/>
  <c r="G248" i="23"/>
  <c r="F248" i="23"/>
  <c r="E248" i="23"/>
  <c r="A248" i="23"/>
  <c r="J248" i="23" s="1"/>
  <c r="M248" i="23" s="1"/>
  <c r="T247" i="23"/>
  <c r="L247" i="23"/>
  <c r="K247" i="23"/>
  <c r="G247" i="23"/>
  <c r="F247" i="23"/>
  <c r="E247" i="23"/>
  <c r="A247" i="23"/>
  <c r="J247" i="23" s="1"/>
  <c r="M247" i="23" s="1"/>
  <c r="T246" i="23"/>
  <c r="K246" i="23" s="1"/>
  <c r="N246" i="23" s="1"/>
  <c r="L246" i="23"/>
  <c r="G246" i="23"/>
  <c r="F246" i="23"/>
  <c r="E246" i="23"/>
  <c r="A246" i="23"/>
  <c r="J246" i="23" s="1"/>
  <c r="T245" i="23"/>
  <c r="L245" i="23"/>
  <c r="K245" i="23"/>
  <c r="N245" i="23" s="1"/>
  <c r="G245" i="23"/>
  <c r="F245" i="23"/>
  <c r="E245" i="23"/>
  <c r="A245" i="23"/>
  <c r="J245" i="23" s="1"/>
  <c r="M245" i="23" s="1"/>
  <c r="T244" i="23"/>
  <c r="G244" i="23"/>
  <c r="F244" i="23"/>
  <c r="E244" i="23"/>
  <c r="A244" i="23"/>
  <c r="J244" i="23" s="1"/>
  <c r="T243" i="23"/>
  <c r="L243" i="23"/>
  <c r="K243" i="23"/>
  <c r="N243" i="23" s="1"/>
  <c r="G243" i="23"/>
  <c r="F243" i="23"/>
  <c r="E243" i="23"/>
  <c r="A243" i="23"/>
  <c r="J243" i="23" s="1"/>
  <c r="M243" i="23" s="1"/>
  <c r="T242" i="23"/>
  <c r="L242" i="23" s="1"/>
  <c r="K242" i="23"/>
  <c r="G242" i="23"/>
  <c r="F242" i="23"/>
  <c r="E242" i="23"/>
  <c r="A242" i="23"/>
  <c r="J242" i="23" s="1"/>
  <c r="T240" i="23"/>
  <c r="L240" i="23" s="1"/>
  <c r="K240" i="23"/>
  <c r="G240" i="23"/>
  <c r="F240" i="23"/>
  <c r="E240" i="23"/>
  <c r="A240" i="23"/>
  <c r="J240" i="23" s="1"/>
  <c r="M240" i="23" s="1"/>
  <c r="T239" i="23"/>
  <c r="L239" i="23"/>
  <c r="K239" i="23"/>
  <c r="G239" i="23"/>
  <c r="F239" i="23"/>
  <c r="E239" i="23"/>
  <c r="A239" i="23"/>
  <c r="J239" i="23" s="1"/>
  <c r="M239" i="23" s="1"/>
  <c r="T238" i="23"/>
  <c r="L238" i="23" s="1"/>
  <c r="K238" i="23"/>
  <c r="G238" i="23"/>
  <c r="F238" i="23"/>
  <c r="E238" i="23"/>
  <c r="A238" i="23"/>
  <c r="J238" i="23" s="1"/>
  <c r="M238" i="23" s="1"/>
  <c r="T237" i="23"/>
  <c r="L237" i="23"/>
  <c r="K237" i="23"/>
  <c r="G237" i="23"/>
  <c r="F237" i="23"/>
  <c r="E237" i="23"/>
  <c r="A237" i="23"/>
  <c r="J237" i="23" s="1"/>
  <c r="M237" i="23" s="1"/>
  <c r="T236" i="23"/>
  <c r="L236" i="23" s="1"/>
  <c r="K236" i="23"/>
  <c r="N236" i="23" s="1"/>
  <c r="G236" i="23"/>
  <c r="F236" i="23"/>
  <c r="E236" i="23"/>
  <c r="A236" i="23"/>
  <c r="J236" i="23" s="1"/>
  <c r="M236" i="23" s="1"/>
  <c r="T235" i="23"/>
  <c r="L235" i="23"/>
  <c r="K235" i="23"/>
  <c r="G235" i="23"/>
  <c r="F235" i="23"/>
  <c r="E235" i="23"/>
  <c r="A235" i="23"/>
  <c r="J235" i="23" s="1"/>
  <c r="M235" i="23" s="1"/>
  <c r="T234" i="23"/>
  <c r="L234" i="23" s="1"/>
  <c r="K234" i="23"/>
  <c r="N234" i="23" s="1"/>
  <c r="G234" i="23"/>
  <c r="F234" i="23"/>
  <c r="E234" i="23"/>
  <c r="A234" i="23"/>
  <c r="J234" i="23" s="1"/>
  <c r="M234" i="23" s="1"/>
  <c r="T233" i="23"/>
  <c r="L233" i="23"/>
  <c r="K233" i="23"/>
  <c r="N233" i="23" s="1"/>
  <c r="G233" i="23"/>
  <c r="F233" i="23"/>
  <c r="E233" i="23"/>
  <c r="A233" i="23"/>
  <c r="J233" i="23" s="1"/>
  <c r="M233" i="23" s="1"/>
  <c r="T230" i="23"/>
  <c r="L230" i="23"/>
  <c r="K230" i="23"/>
  <c r="G230" i="23"/>
  <c r="F230" i="23"/>
  <c r="E230" i="23"/>
  <c r="A230" i="23"/>
  <c r="J230" i="23" s="1"/>
  <c r="M230" i="23" s="1"/>
  <c r="T229" i="23"/>
  <c r="G229" i="23"/>
  <c r="F229" i="23"/>
  <c r="E229" i="23"/>
  <c r="A229" i="23"/>
  <c r="J229" i="23" s="1"/>
  <c r="T226" i="23"/>
  <c r="G226" i="23"/>
  <c r="F226" i="23"/>
  <c r="E226" i="23"/>
  <c r="A226" i="23"/>
  <c r="J226" i="23" s="1"/>
  <c r="L224" i="23"/>
  <c r="T223" i="23"/>
  <c r="L223" i="23"/>
  <c r="K223" i="23"/>
  <c r="N223" i="23" s="1"/>
  <c r="G223" i="23"/>
  <c r="F223" i="23"/>
  <c r="E223" i="23"/>
  <c r="A223" i="23"/>
  <c r="J223" i="23" s="1"/>
  <c r="M223" i="23" s="1"/>
  <c r="T222" i="23"/>
  <c r="L222" i="23"/>
  <c r="K222" i="23"/>
  <c r="N222" i="23" s="1"/>
  <c r="G222" i="23"/>
  <c r="F222" i="23"/>
  <c r="E222" i="23"/>
  <c r="A222" i="23"/>
  <c r="J222" i="23" s="1"/>
  <c r="M222" i="23" s="1"/>
  <c r="T221" i="23"/>
  <c r="L221" i="23"/>
  <c r="K221" i="23"/>
  <c r="N221" i="23" s="1"/>
  <c r="G221" i="23"/>
  <c r="F221" i="23"/>
  <c r="E221" i="23"/>
  <c r="A221" i="23"/>
  <c r="J221" i="23" s="1"/>
  <c r="M221" i="23" s="1"/>
  <c r="T220" i="23"/>
  <c r="K220" i="23" s="1"/>
  <c r="N220" i="23" s="1"/>
  <c r="L220" i="23"/>
  <c r="G220" i="23"/>
  <c r="F220" i="23"/>
  <c r="E220" i="23"/>
  <c r="A220" i="23"/>
  <c r="J220" i="23" s="1"/>
  <c r="M220" i="23" s="1"/>
  <c r="T219" i="23"/>
  <c r="L219" i="23"/>
  <c r="K219" i="23"/>
  <c r="N219" i="23" s="1"/>
  <c r="G219" i="23"/>
  <c r="F219" i="23"/>
  <c r="E219" i="23"/>
  <c r="A219" i="23"/>
  <c r="J219" i="23" s="1"/>
  <c r="M219" i="23" s="1"/>
  <c r="T218" i="23"/>
  <c r="G218" i="23"/>
  <c r="F218" i="23"/>
  <c r="E218" i="23"/>
  <c r="A218" i="23"/>
  <c r="J218" i="23" s="1"/>
  <c r="M218" i="23" s="1"/>
  <c r="T217" i="23"/>
  <c r="L217" i="23"/>
  <c r="K217" i="23"/>
  <c r="N217" i="23" s="1"/>
  <c r="G217" i="23"/>
  <c r="F217" i="23"/>
  <c r="E217" i="23"/>
  <c r="A217" i="23"/>
  <c r="J217" i="23" s="1"/>
  <c r="P216" i="23"/>
  <c r="O216" i="23"/>
  <c r="T215" i="23"/>
  <c r="L215" i="23" s="1"/>
  <c r="K215" i="23"/>
  <c r="N215" i="23" s="1"/>
  <c r="G215" i="23"/>
  <c r="F215" i="23"/>
  <c r="E215" i="23"/>
  <c r="A215" i="23"/>
  <c r="J215" i="23" s="1"/>
  <c r="M215" i="23" s="1"/>
  <c r="T214" i="23"/>
  <c r="G214" i="23"/>
  <c r="F214" i="23"/>
  <c r="E214" i="23"/>
  <c r="A214" i="23"/>
  <c r="J214" i="23" s="1"/>
  <c r="T213" i="23"/>
  <c r="G213" i="23"/>
  <c r="F213" i="23"/>
  <c r="E213" i="23"/>
  <c r="A213" i="23"/>
  <c r="J213" i="23" s="1"/>
  <c r="M213" i="23" s="1"/>
  <c r="T212" i="23"/>
  <c r="L212" i="23" s="1"/>
  <c r="G212" i="23"/>
  <c r="F212" i="23"/>
  <c r="E212" i="23"/>
  <c r="A212" i="23"/>
  <c r="J212" i="23" s="1"/>
  <c r="M212" i="23" s="1"/>
  <c r="T211" i="23"/>
  <c r="L211" i="23" s="1"/>
  <c r="K211" i="23"/>
  <c r="N211" i="23" s="1"/>
  <c r="G211" i="23"/>
  <c r="F211" i="23"/>
  <c r="E211" i="23"/>
  <c r="A211" i="23"/>
  <c r="J211" i="23" s="1"/>
  <c r="M211" i="23" s="1"/>
  <c r="T210" i="23"/>
  <c r="L210" i="23"/>
  <c r="K210" i="23"/>
  <c r="N210" i="23" s="1"/>
  <c r="G210" i="23"/>
  <c r="F210" i="23"/>
  <c r="E210" i="23"/>
  <c r="A210" i="23"/>
  <c r="J210" i="23" s="1"/>
  <c r="M210" i="23" s="1"/>
  <c r="T209" i="23"/>
  <c r="L209" i="23" s="1"/>
  <c r="K209" i="23"/>
  <c r="N209" i="23" s="1"/>
  <c r="G209" i="23"/>
  <c r="F209" i="23"/>
  <c r="E209" i="23"/>
  <c r="A209" i="23"/>
  <c r="J209" i="23" s="1"/>
  <c r="M209" i="23" s="1"/>
  <c r="T208" i="23"/>
  <c r="L208" i="23"/>
  <c r="K208" i="23"/>
  <c r="N208" i="23" s="1"/>
  <c r="G208" i="23"/>
  <c r="F208" i="23"/>
  <c r="E208" i="23"/>
  <c r="A208" i="23"/>
  <c r="J208" i="23" s="1"/>
  <c r="M208" i="23" s="1"/>
  <c r="T207" i="23"/>
  <c r="L207" i="23" s="1"/>
  <c r="K207" i="23"/>
  <c r="N207" i="23" s="1"/>
  <c r="G207" i="23"/>
  <c r="F207" i="23"/>
  <c r="E207" i="23"/>
  <c r="A207" i="23"/>
  <c r="J207" i="23" s="1"/>
  <c r="M207" i="23" s="1"/>
  <c r="P206" i="23"/>
  <c r="O206" i="23"/>
  <c r="T205" i="23"/>
  <c r="L205" i="23" s="1"/>
  <c r="G205" i="23"/>
  <c r="F205" i="23"/>
  <c r="E205" i="23"/>
  <c r="A205" i="23"/>
  <c r="J205" i="23" s="1"/>
  <c r="M205" i="23" s="1"/>
  <c r="T204" i="23"/>
  <c r="L204" i="23"/>
  <c r="K204" i="23"/>
  <c r="N204" i="23" s="1"/>
  <c r="G204" i="23"/>
  <c r="F204" i="23"/>
  <c r="E204" i="23"/>
  <c r="A204" i="23"/>
  <c r="J204" i="23" s="1"/>
  <c r="M204" i="23" s="1"/>
  <c r="T203" i="23"/>
  <c r="L203" i="23" s="1"/>
  <c r="K203" i="23"/>
  <c r="N203" i="23" s="1"/>
  <c r="G203" i="23"/>
  <c r="F203" i="23"/>
  <c r="E203" i="23"/>
  <c r="A203" i="23"/>
  <c r="J203" i="23" s="1"/>
  <c r="M203" i="23" s="1"/>
  <c r="T202" i="23"/>
  <c r="L202" i="23"/>
  <c r="K202" i="23"/>
  <c r="N202" i="23" s="1"/>
  <c r="G202" i="23"/>
  <c r="F202" i="23"/>
  <c r="E202" i="23"/>
  <c r="A202" i="23"/>
  <c r="J202" i="23" s="1"/>
  <c r="M202" i="23" s="1"/>
  <c r="T201" i="23"/>
  <c r="G201" i="23"/>
  <c r="F201" i="23"/>
  <c r="E201" i="23"/>
  <c r="A201" i="23"/>
  <c r="J201" i="23" s="1"/>
  <c r="M201" i="23" s="1"/>
  <c r="T200" i="23"/>
  <c r="L200" i="23"/>
  <c r="K200" i="23"/>
  <c r="N200" i="23" s="1"/>
  <c r="G200" i="23"/>
  <c r="F200" i="23"/>
  <c r="E200" i="23"/>
  <c r="A200" i="23"/>
  <c r="J200" i="23" s="1"/>
  <c r="M200" i="23" s="1"/>
  <c r="T199" i="23"/>
  <c r="L199" i="23"/>
  <c r="K199" i="23"/>
  <c r="N199" i="23" s="1"/>
  <c r="G199" i="23"/>
  <c r="F199" i="23"/>
  <c r="E199" i="23"/>
  <c r="A199" i="23"/>
  <c r="J199" i="23" s="1"/>
  <c r="M199" i="23" s="1"/>
  <c r="T198" i="23"/>
  <c r="L198" i="23"/>
  <c r="K198" i="23"/>
  <c r="N198" i="23" s="1"/>
  <c r="G198" i="23"/>
  <c r="F198" i="23"/>
  <c r="E198" i="23"/>
  <c r="A198" i="23"/>
  <c r="J198" i="23" s="1"/>
  <c r="M198" i="23" s="1"/>
  <c r="T197" i="23"/>
  <c r="L197" i="23"/>
  <c r="K197" i="23"/>
  <c r="G197" i="23"/>
  <c r="F197" i="23"/>
  <c r="E197" i="23"/>
  <c r="A197" i="23"/>
  <c r="J197" i="23" s="1"/>
  <c r="P196" i="23"/>
  <c r="O196" i="23"/>
  <c r="T195" i="23"/>
  <c r="G195" i="23"/>
  <c r="F195" i="23"/>
  <c r="E195" i="23"/>
  <c r="A195" i="23"/>
  <c r="J195" i="23" s="1"/>
  <c r="M195" i="23" s="1"/>
  <c r="T194" i="23"/>
  <c r="L194" i="23" s="1"/>
  <c r="K194" i="23"/>
  <c r="N194" i="23" s="1"/>
  <c r="G194" i="23"/>
  <c r="F194" i="23"/>
  <c r="E194" i="23"/>
  <c r="A194" i="23"/>
  <c r="J194" i="23" s="1"/>
  <c r="M194" i="23" s="1"/>
  <c r="T193" i="23"/>
  <c r="L193" i="23"/>
  <c r="K193" i="23"/>
  <c r="G193" i="23"/>
  <c r="F193" i="23"/>
  <c r="E193" i="23"/>
  <c r="A193" i="23"/>
  <c r="J193" i="23" s="1"/>
  <c r="T192" i="23"/>
  <c r="L192" i="23" s="1"/>
  <c r="K192" i="23"/>
  <c r="N192" i="23" s="1"/>
  <c r="G192" i="23"/>
  <c r="F192" i="23"/>
  <c r="E192" i="23"/>
  <c r="A192" i="23"/>
  <c r="J192" i="23" s="1"/>
  <c r="M192" i="23" s="1"/>
  <c r="T191" i="23"/>
  <c r="L191" i="23"/>
  <c r="K191" i="23"/>
  <c r="G191" i="23"/>
  <c r="F191" i="23"/>
  <c r="E191" i="23"/>
  <c r="A191" i="23"/>
  <c r="J191" i="23" s="1"/>
  <c r="M191" i="23" s="1"/>
  <c r="T190" i="23"/>
  <c r="L190" i="23" s="1"/>
  <c r="K190" i="23"/>
  <c r="G190" i="23"/>
  <c r="F190" i="23"/>
  <c r="E190" i="23"/>
  <c r="A190" i="23"/>
  <c r="J190" i="23" s="1"/>
  <c r="M190" i="23" s="1"/>
  <c r="T189" i="23"/>
  <c r="K189" i="23" s="1"/>
  <c r="L189" i="23"/>
  <c r="G189" i="23"/>
  <c r="F189" i="23"/>
  <c r="E189" i="23"/>
  <c r="A189" i="23"/>
  <c r="J189" i="23" s="1"/>
  <c r="T188" i="23"/>
  <c r="G188" i="23"/>
  <c r="F188" i="23"/>
  <c r="E188" i="23"/>
  <c r="A188" i="23"/>
  <c r="J188" i="23" s="1"/>
  <c r="M188" i="23" s="1"/>
  <c r="T187" i="23"/>
  <c r="L187" i="23" s="1"/>
  <c r="K187" i="23"/>
  <c r="G187" i="23"/>
  <c r="F187" i="23"/>
  <c r="E187" i="23"/>
  <c r="A187" i="23"/>
  <c r="J187" i="23" s="1"/>
  <c r="M187" i="23" s="1"/>
  <c r="T186" i="23"/>
  <c r="L186" i="23"/>
  <c r="K186" i="23"/>
  <c r="N186" i="23" s="1"/>
  <c r="G186" i="23"/>
  <c r="F186" i="23"/>
  <c r="E186" i="23"/>
  <c r="A186" i="23"/>
  <c r="J186" i="23" s="1"/>
  <c r="M186" i="23" s="1"/>
  <c r="T185" i="23"/>
  <c r="G185" i="23"/>
  <c r="F185" i="23"/>
  <c r="E185" i="23"/>
  <c r="A185" i="23"/>
  <c r="J185" i="23" s="1"/>
  <c r="M185" i="23" s="1"/>
  <c r="T184" i="23"/>
  <c r="L184" i="23"/>
  <c r="K184" i="23"/>
  <c r="N184" i="23" s="1"/>
  <c r="G184" i="23"/>
  <c r="F184" i="23"/>
  <c r="E184" i="23"/>
  <c r="A184" i="23"/>
  <c r="J184" i="23" s="1"/>
  <c r="M184" i="23" s="1"/>
  <c r="T183" i="23"/>
  <c r="K183" i="23" s="1"/>
  <c r="N183" i="23" s="1"/>
  <c r="L183" i="23"/>
  <c r="G183" i="23"/>
  <c r="F183" i="23"/>
  <c r="E183" i="23"/>
  <c r="A183" i="23"/>
  <c r="J183" i="23" s="1"/>
  <c r="M183" i="23" s="1"/>
  <c r="T182" i="23"/>
  <c r="L182" i="23"/>
  <c r="K182" i="23"/>
  <c r="N182" i="23" s="1"/>
  <c r="G182" i="23"/>
  <c r="F182" i="23"/>
  <c r="E182" i="23"/>
  <c r="A182" i="23"/>
  <c r="J182" i="23" s="1"/>
  <c r="M182" i="23" s="1"/>
  <c r="T181" i="23"/>
  <c r="L181" i="23"/>
  <c r="K181" i="23"/>
  <c r="N181" i="23" s="1"/>
  <c r="G181" i="23"/>
  <c r="F181" i="23"/>
  <c r="E181" i="23"/>
  <c r="A181" i="23"/>
  <c r="J181" i="23" s="1"/>
  <c r="M181" i="23" s="1"/>
  <c r="T180" i="23"/>
  <c r="L180" i="23"/>
  <c r="K180" i="23"/>
  <c r="G180" i="23"/>
  <c r="F180" i="23"/>
  <c r="E180" i="23"/>
  <c r="A180" i="23"/>
  <c r="J180" i="23" s="1"/>
  <c r="M180" i="23" s="1"/>
  <c r="T179" i="23"/>
  <c r="L179" i="23" s="1"/>
  <c r="K179" i="23"/>
  <c r="G179" i="23"/>
  <c r="F179" i="23"/>
  <c r="E179" i="23"/>
  <c r="A179" i="23"/>
  <c r="J179" i="23" s="1"/>
  <c r="M179" i="23" s="1"/>
  <c r="T178" i="23"/>
  <c r="L178" i="23"/>
  <c r="K178" i="23"/>
  <c r="N178" i="23" s="1"/>
  <c r="G178" i="23"/>
  <c r="F178" i="23"/>
  <c r="E178" i="23"/>
  <c r="A178" i="23"/>
  <c r="J178" i="23" s="1"/>
  <c r="M178" i="23" s="1"/>
  <c r="P177" i="23"/>
  <c r="O177" i="23"/>
  <c r="T176" i="23"/>
  <c r="L176" i="23" s="1"/>
  <c r="K176" i="23"/>
  <c r="G176" i="23"/>
  <c r="F176" i="23"/>
  <c r="E176" i="23"/>
  <c r="A176" i="23"/>
  <c r="J176" i="23" s="1"/>
  <c r="M176" i="23" s="1"/>
  <c r="T175" i="23"/>
  <c r="L175" i="23"/>
  <c r="K175" i="23"/>
  <c r="G175" i="23"/>
  <c r="F175" i="23"/>
  <c r="E175" i="23"/>
  <c r="A175" i="23"/>
  <c r="J175" i="23" s="1"/>
  <c r="M175" i="23" s="1"/>
  <c r="T174" i="23"/>
  <c r="L174" i="23" s="1"/>
  <c r="K174" i="23"/>
  <c r="G174" i="23"/>
  <c r="F174" i="23"/>
  <c r="E174" i="23"/>
  <c r="A174" i="23"/>
  <c r="J174" i="23" s="1"/>
  <c r="M174" i="23" s="1"/>
  <c r="T173" i="23"/>
  <c r="K173" i="23" s="1"/>
  <c r="N173" i="23" s="1"/>
  <c r="L173" i="23"/>
  <c r="G173" i="23"/>
  <c r="F173" i="23"/>
  <c r="E173" i="23"/>
  <c r="A173" i="23"/>
  <c r="J173" i="23" s="1"/>
  <c r="M173" i="23" s="1"/>
  <c r="T172" i="23"/>
  <c r="L172" i="23" s="1"/>
  <c r="G172" i="23"/>
  <c r="F172" i="23"/>
  <c r="E172" i="23"/>
  <c r="A172" i="23"/>
  <c r="J172" i="23" s="1"/>
  <c r="M172" i="23" s="1"/>
  <c r="T171" i="23"/>
  <c r="G171" i="23"/>
  <c r="F171" i="23"/>
  <c r="E171" i="23"/>
  <c r="A171" i="23"/>
  <c r="J171" i="23" s="1"/>
  <c r="M171" i="23" s="1"/>
  <c r="T170" i="23"/>
  <c r="G170" i="23"/>
  <c r="F170" i="23"/>
  <c r="E170" i="23"/>
  <c r="A170" i="23"/>
  <c r="J170" i="23" s="1"/>
  <c r="T168" i="23"/>
  <c r="L168" i="23"/>
  <c r="K168" i="23"/>
  <c r="G168" i="23"/>
  <c r="F168" i="23"/>
  <c r="E168" i="23"/>
  <c r="A168" i="23"/>
  <c r="J168" i="23" s="1"/>
  <c r="T167" i="23"/>
  <c r="K167" i="23" s="1"/>
  <c r="L167" i="23"/>
  <c r="G167" i="23"/>
  <c r="F167" i="23"/>
  <c r="E167" i="23"/>
  <c r="A167" i="23"/>
  <c r="J167" i="23" s="1"/>
  <c r="M167" i="23" s="1"/>
  <c r="T166" i="23"/>
  <c r="L166" i="23"/>
  <c r="K166" i="23"/>
  <c r="N166" i="23" s="1"/>
  <c r="G166" i="23"/>
  <c r="F166" i="23"/>
  <c r="E166" i="23"/>
  <c r="A166" i="23"/>
  <c r="J166" i="23" s="1"/>
  <c r="M166" i="23" s="1"/>
  <c r="T165" i="23"/>
  <c r="L165" i="23"/>
  <c r="K165" i="23"/>
  <c r="G165" i="23"/>
  <c r="F165" i="23"/>
  <c r="E165" i="23"/>
  <c r="A165" i="23"/>
  <c r="J165" i="23" s="1"/>
  <c r="M165" i="23" s="1"/>
  <c r="T164" i="23"/>
  <c r="L164" i="23"/>
  <c r="K164" i="23"/>
  <c r="N164" i="23" s="1"/>
  <c r="G164" i="23"/>
  <c r="F164" i="23"/>
  <c r="E164" i="23"/>
  <c r="A164" i="23"/>
  <c r="J164" i="23" s="1"/>
  <c r="M164" i="23" s="1"/>
  <c r="T163" i="23"/>
  <c r="L163" i="23" s="1"/>
  <c r="K163" i="23"/>
  <c r="G163" i="23"/>
  <c r="F163" i="23"/>
  <c r="E163" i="23"/>
  <c r="A163" i="23"/>
  <c r="J163" i="23" s="1"/>
  <c r="M163" i="23" s="1"/>
  <c r="T162" i="23"/>
  <c r="L162" i="23"/>
  <c r="K162" i="23"/>
  <c r="N162" i="23" s="1"/>
  <c r="G162" i="23"/>
  <c r="F162" i="23"/>
  <c r="E162" i="23"/>
  <c r="A162" i="23"/>
  <c r="J162" i="23" s="1"/>
  <c r="M162" i="23" s="1"/>
  <c r="T161" i="23"/>
  <c r="G161" i="23"/>
  <c r="F161" i="23"/>
  <c r="E161" i="23"/>
  <c r="A161" i="23"/>
  <c r="J161" i="23" s="1"/>
  <c r="T160" i="23"/>
  <c r="L160" i="23"/>
  <c r="K160" i="23"/>
  <c r="N160" i="23" s="1"/>
  <c r="G160" i="23"/>
  <c r="F160" i="23"/>
  <c r="E160" i="23"/>
  <c r="A160" i="23"/>
  <c r="J160" i="23" s="1"/>
  <c r="T159" i="23"/>
  <c r="K159" i="23" s="1"/>
  <c r="L159" i="23"/>
  <c r="G159" i="23"/>
  <c r="F159" i="23"/>
  <c r="E159" i="23"/>
  <c r="A159" i="23"/>
  <c r="J159" i="23" s="1"/>
  <c r="M159" i="23" s="1"/>
  <c r="T158" i="23"/>
  <c r="L158" i="23"/>
  <c r="K158" i="23"/>
  <c r="N158" i="23" s="1"/>
  <c r="G158" i="23"/>
  <c r="F158" i="23"/>
  <c r="E158" i="23"/>
  <c r="A158" i="23"/>
  <c r="J158" i="23" s="1"/>
  <c r="M158" i="23" s="1"/>
  <c r="T157" i="23"/>
  <c r="L157" i="23"/>
  <c r="K157" i="23"/>
  <c r="G157" i="23"/>
  <c r="F157" i="23"/>
  <c r="E157" i="23"/>
  <c r="A157" i="23"/>
  <c r="J157" i="23" s="1"/>
  <c r="T155" i="23"/>
  <c r="L155" i="23" s="1"/>
  <c r="K155" i="23"/>
  <c r="G155" i="23"/>
  <c r="F155" i="23"/>
  <c r="E155" i="23"/>
  <c r="A155" i="23"/>
  <c r="J155" i="23" s="1"/>
  <c r="M155" i="23" s="1"/>
  <c r="T154" i="23"/>
  <c r="K154" i="23" s="1"/>
  <c r="L154" i="23"/>
  <c r="G154" i="23"/>
  <c r="F154" i="23"/>
  <c r="E154" i="23"/>
  <c r="A154" i="23"/>
  <c r="J154" i="23" s="1"/>
  <c r="T153" i="23"/>
  <c r="L153" i="23" s="1"/>
  <c r="G153" i="23"/>
  <c r="F153" i="23"/>
  <c r="E153" i="23"/>
  <c r="A153" i="23"/>
  <c r="J153" i="23" s="1"/>
  <c r="M153" i="23" s="1"/>
  <c r="T152" i="23"/>
  <c r="G152" i="23"/>
  <c r="F152" i="23"/>
  <c r="E152" i="23"/>
  <c r="A152" i="23"/>
  <c r="J152" i="23" s="1"/>
  <c r="T151" i="23"/>
  <c r="G151" i="23"/>
  <c r="F151" i="23"/>
  <c r="E151" i="23"/>
  <c r="A151" i="23"/>
  <c r="J151" i="23" s="1"/>
  <c r="M151" i="23" s="1"/>
  <c r="T150" i="23"/>
  <c r="L150" i="23" s="1"/>
  <c r="K150" i="23"/>
  <c r="G150" i="23"/>
  <c r="F150" i="23"/>
  <c r="E150" i="23"/>
  <c r="A150" i="23"/>
  <c r="J150" i="23" s="1"/>
  <c r="M150" i="23" s="1"/>
  <c r="T149" i="23"/>
  <c r="L149" i="23" s="1"/>
  <c r="K149" i="23"/>
  <c r="N149" i="23" s="1"/>
  <c r="G149" i="23"/>
  <c r="F149" i="23"/>
  <c r="E149" i="23"/>
  <c r="A149" i="23"/>
  <c r="J149" i="23" s="1"/>
  <c r="M149" i="23" s="1"/>
  <c r="T148" i="23"/>
  <c r="L148" i="23"/>
  <c r="K148" i="23"/>
  <c r="N148" i="23" s="1"/>
  <c r="G148" i="23"/>
  <c r="F148" i="23"/>
  <c r="E148" i="23"/>
  <c r="A148" i="23"/>
  <c r="J148" i="23" s="1"/>
  <c r="M148" i="23" s="1"/>
  <c r="T147" i="23"/>
  <c r="G147" i="23"/>
  <c r="F147" i="23"/>
  <c r="E147" i="23"/>
  <c r="A147" i="23"/>
  <c r="J147" i="23" s="1"/>
  <c r="T146" i="23"/>
  <c r="L146" i="23"/>
  <c r="K146" i="23"/>
  <c r="G146" i="23"/>
  <c r="F146" i="23"/>
  <c r="E146" i="23"/>
  <c r="A146" i="23"/>
  <c r="J146" i="23" s="1"/>
  <c r="M146" i="23" s="1"/>
  <c r="T145" i="23"/>
  <c r="G145" i="23"/>
  <c r="F145" i="23"/>
  <c r="E145" i="23"/>
  <c r="A145" i="23"/>
  <c r="J145" i="23" s="1"/>
  <c r="M145" i="23" s="1"/>
  <c r="T144" i="23"/>
  <c r="L144" i="23"/>
  <c r="K144" i="23"/>
  <c r="N144" i="23" s="1"/>
  <c r="G144" i="23"/>
  <c r="F144" i="23"/>
  <c r="E144" i="23"/>
  <c r="A144" i="23"/>
  <c r="J144" i="23" s="1"/>
  <c r="T141" i="23"/>
  <c r="L141" i="23"/>
  <c r="K141" i="23"/>
  <c r="N141" i="23" s="1"/>
  <c r="G141" i="23"/>
  <c r="F141" i="23"/>
  <c r="E141" i="23"/>
  <c r="A141" i="23"/>
  <c r="J141" i="23" s="1"/>
  <c r="M141" i="23" s="1"/>
  <c r="T140" i="23"/>
  <c r="G140" i="23"/>
  <c r="F140" i="23"/>
  <c r="E140" i="23"/>
  <c r="A140" i="23"/>
  <c r="J140" i="23" s="1"/>
  <c r="M140" i="23" s="1"/>
  <c r="T139" i="23"/>
  <c r="L139" i="23"/>
  <c r="K139" i="23"/>
  <c r="N139" i="23" s="1"/>
  <c r="G139" i="23"/>
  <c r="F139" i="23"/>
  <c r="E139" i="23"/>
  <c r="A139" i="23"/>
  <c r="J139" i="23" s="1"/>
  <c r="M139" i="23" s="1"/>
  <c r="T138" i="23"/>
  <c r="L138" i="23" s="1"/>
  <c r="K138" i="23"/>
  <c r="G138" i="23"/>
  <c r="F138" i="23"/>
  <c r="E138" i="23"/>
  <c r="A138" i="23"/>
  <c r="J138" i="23" s="1"/>
  <c r="M138" i="23" s="1"/>
  <c r="T137" i="23"/>
  <c r="L137" i="23"/>
  <c r="K137" i="23"/>
  <c r="N137" i="23" s="1"/>
  <c r="G137" i="23"/>
  <c r="F137" i="23"/>
  <c r="E137" i="23"/>
  <c r="A137" i="23"/>
  <c r="J137" i="23" s="1"/>
  <c r="M137" i="23" s="1"/>
  <c r="T135" i="23"/>
  <c r="L135" i="23" s="1"/>
  <c r="K135" i="23"/>
  <c r="G135" i="23"/>
  <c r="F135" i="23"/>
  <c r="E135" i="23"/>
  <c r="A135" i="23"/>
  <c r="J135" i="23" s="1"/>
  <c r="M135" i="23" s="1"/>
  <c r="T134" i="23"/>
  <c r="L134" i="23" s="1"/>
  <c r="K134" i="23"/>
  <c r="G134" i="23"/>
  <c r="F134" i="23"/>
  <c r="E134" i="23"/>
  <c r="A134" i="23"/>
  <c r="J134" i="23" s="1"/>
  <c r="M134" i="23" s="1"/>
  <c r="T133" i="23"/>
  <c r="L133" i="23" s="1"/>
  <c r="K133" i="23"/>
  <c r="G133" i="23"/>
  <c r="F133" i="23"/>
  <c r="E133" i="23"/>
  <c r="A133" i="23"/>
  <c r="J133" i="23" s="1"/>
  <c r="M133" i="23" s="1"/>
  <c r="T132" i="23"/>
  <c r="L132" i="23" s="1"/>
  <c r="K132" i="23"/>
  <c r="G132" i="23"/>
  <c r="F132" i="23"/>
  <c r="E132" i="23"/>
  <c r="A132" i="23"/>
  <c r="J132" i="23" s="1"/>
  <c r="M132" i="23" s="1"/>
  <c r="T131" i="23"/>
  <c r="L131" i="23" s="1"/>
  <c r="K131" i="23"/>
  <c r="N131" i="23" s="1"/>
  <c r="G131" i="23"/>
  <c r="F131" i="23"/>
  <c r="E131" i="23"/>
  <c r="A131" i="23"/>
  <c r="J131" i="23" s="1"/>
  <c r="M131" i="23" s="1"/>
  <c r="T130" i="23"/>
  <c r="L130" i="23" s="1"/>
  <c r="K130" i="23"/>
  <c r="G130" i="23"/>
  <c r="F130" i="23"/>
  <c r="E130" i="23"/>
  <c r="A130" i="23"/>
  <c r="J130" i="23" s="1"/>
  <c r="M130" i="23" s="1"/>
  <c r="T129" i="23"/>
  <c r="L129" i="23" s="1"/>
  <c r="K129" i="23"/>
  <c r="G129" i="23"/>
  <c r="F129" i="23"/>
  <c r="E129" i="23"/>
  <c r="A129" i="23"/>
  <c r="J129" i="23" s="1"/>
  <c r="M129" i="23" s="1"/>
  <c r="T128" i="23"/>
  <c r="L128" i="23" s="1"/>
  <c r="K128" i="23"/>
  <c r="N128" i="23" s="1"/>
  <c r="G128" i="23"/>
  <c r="F128" i="23"/>
  <c r="E128" i="23"/>
  <c r="A128" i="23"/>
  <c r="J128" i="23" s="1"/>
  <c r="M128" i="23" s="1"/>
  <c r="T127" i="23"/>
  <c r="L127" i="23" s="1"/>
  <c r="K127" i="23"/>
  <c r="N127" i="23" s="1"/>
  <c r="G127" i="23"/>
  <c r="F127" i="23"/>
  <c r="E127" i="23"/>
  <c r="A127" i="23"/>
  <c r="J127" i="23" s="1"/>
  <c r="M127" i="23" s="1"/>
  <c r="T126" i="23"/>
  <c r="L126" i="23" s="1"/>
  <c r="K126" i="23"/>
  <c r="G126" i="23"/>
  <c r="F126" i="23"/>
  <c r="E126" i="23"/>
  <c r="A126" i="23"/>
  <c r="J126" i="23" s="1"/>
  <c r="M126" i="23" s="1"/>
  <c r="T125" i="23"/>
  <c r="L125" i="23" s="1"/>
  <c r="K125" i="23"/>
  <c r="G125" i="23"/>
  <c r="F125" i="23"/>
  <c r="E125" i="23"/>
  <c r="A125" i="23"/>
  <c r="J125" i="23" s="1"/>
  <c r="M125" i="23" s="1"/>
  <c r="T124" i="23"/>
  <c r="L124" i="23" s="1"/>
  <c r="K124" i="23"/>
  <c r="G124" i="23"/>
  <c r="F124" i="23"/>
  <c r="E124" i="23"/>
  <c r="A124" i="23"/>
  <c r="J124" i="23" s="1"/>
  <c r="M124" i="23" s="1"/>
  <c r="T123" i="23"/>
  <c r="L123" i="23" s="1"/>
  <c r="K123" i="23"/>
  <c r="G123" i="23"/>
  <c r="F123" i="23"/>
  <c r="E123" i="23"/>
  <c r="A123" i="23"/>
  <c r="J123" i="23" s="1"/>
  <c r="M123" i="23" s="1"/>
  <c r="T122" i="23"/>
  <c r="L122" i="23" s="1"/>
  <c r="K122" i="23"/>
  <c r="G122" i="23"/>
  <c r="F122" i="23"/>
  <c r="E122" i="23"/>
  <c r="A122" i="23"/>
  <c r="J122" i="23" s="1"/>
  <c r="M122" i="23" s="1"/>
  <c r="T121" i="23"/>
  <c r="L121" i="23" s="1"/>
  <c r="K121" i="23"/>
  <c r="G121" i="23"/>
  <c r="F121" i="23"/>
  <c r="E121" i="23"/>
  <c r="A121" i="23"/>
  <c r="J121" i="23" s="1"/>
  <c r="M121" i="23" s="1"/>
  <c r="T120" i="23"/>
  <c r="L120" i="23" s="1"/>
  <c r="K120" i="23"/>
  <c r="G120" i="23"/>
  <c r="F120" i="23"/>
  <c r="E120" i="23"/>
  <c r="A120" i="23"/>
  <c r="J120" i="23" s="1"/>
  <c r="M120" i="23" s="1"/>
  <c r="T119" i="23"/>
  <c r="L119" i="23" s="1"/>
  <c r="K119" i="23"/>
  <c r="G119" i="23"/>
  <c r="F119" i="23"/>
  <c r="E119" i="23"/>
  <c r="A119" i="23"/>
  <c r="J119" i="23" s="1"/>
  <c r="M119" i="23" s="1"/>
  <c r="T118" i="23"/>
  <c r="L118" i="23" s="1"/>
  <c r="K118" i="23"/>
  <c r="G118" i="23"/>
  <c r="F118" i="23"/>
  <c r="E118" i="23"/>
  <c r="A118" i="23"/>
  <c r="J118" i="23" s="1"/>
  <c r="M118" i="23" s="1"/>
  <c r="T117" i="23"/>
  <c r="L117" i="23" s="1"/>
  <c r="K117" i="23"/>
  <c r="G117" i="23"/>
  <c r="F117" i="23"/>
  <c r="E117" i="23"/>
  <c r="A117" i="23"/>
  <c r="J117" i="23" s="1"/>
  <c r="M117" i="23" s="1"/>
  <c r="T116" i="23"/>
  <c r="L116" i="23" s="1"/>
  <c r="K116" i="23"/>
  <c r="G116" i="23"/>
  <c r="F116" i="23"/>
  <c r="E116" i="23"/>
  <c r="A116" i="23"/>
  <c r="J116" i="23" s="1"/>
  <c r="M116" i="23" s="1"/>
  <c r="T115" i="23"/>
  <c r="L115" i="23" s="1"/>
  <c r="K115" i="23"/>
  <c r="G115" i="23"/>
  <c r="F115" i="23"/>
  <c r="E115" i="23"/>
  <c r="A115" i="23"/>
  <c r="J115" i="23" s="1"/>
  <c r="M115" i="23" s="1"/>
  <c r="T114" i="23"/>
  <c r="L114" i="23" s="1"/>
  <c r="K114" i="23"/>
  <c r="G114" i="23"/>
  <c r="F114" i="23"/>
  <c r="E114" i="23"/>
  <c r="A114" i="23"/>
  <c r="J114" i="23" s="1"/>
  <c r="M114" i="23" s="1"/>
  <c r="T113" i="23"/>
  <c r="L113" i="23" s="1"/>
  <c r="K113" i="23"/>
  <c r="G113" i="23"/>
  <c r="F113" i="23"/>
  <c r="E113" i="23"/>
  <c r="A113" i="23"/>
  <c r="J113" i="23" s="1"/>
  <c r="M113" i="23" s="1"/>
  <c r="T112" i="23"/>
  <c r="L112" i="23" s="1"/>
  <c r="K112" i="23"/>
  <c r="G112" i="23"/>
  <c r="F112" i="23"/>
  <c r="E112" i="23"/>
  <c r="A112" i="23"/>
  <c r="J112" i="23" s="1"/>
  <c r="M112" i="23" s="1"/>
  <c r="T111" i="23"/>
  <c r="L111" i="23"/>
  <c r="K111" i="23"/>
  <c r="G111" i="23"/>
  <c r="F111" i="23"/>
  <c r="E111" i="23"/>
  <c r="A111" i="23"/>
  <c r="J111" i="23" s="1"/>
  <c r="T110" i="23"/>
  <c r="L110" i="23" s="1"/>
  <c r="K110" i="23"/>
  <c r="G110" i="23"/>
  <c r="F110" i="23"/>
  <c r="E110" i="23"/>
  <c r="A110" i="23"/>
  <c r="J110" i="23" s="1"/>
  <c r="M110" i="23" s="1"/>
  <c r="T109" i="23"/>
  <c r="L109" i="23"/>
  <c r="K109" i="23"/>
  <c r="G109" i="23"/>
  <c r="F109" i="23"/>
  <c r="E109" i="23"/>
  <c r="A109" i="23"/>
  <c r="J109" i="23" s="1"/>
  <c r="M109" i="23" s="1"/>
  <c r="T108" i="23"/>
  <c r="L108" i="23" s="1"/>
  <c r="K108" i="23"/>
  <c r="G108" i="23"/>
  <c r="F108" i="23"/>
  <c r="E108" i="23"/>
  <c r="A108" i="23"/>
  <c r="J108" i="23" s="1"/>
  <c r="M108" i="23" s="1"/>
  <c r="T107" i="23"/>
  <c r="K107" i="23" s="1"/>
  <c r="L107" i="23"/>
  <c r="G107" i="23"/>
  <c r="F107" i="23"/>
  <c r="E107" i="23"/>
  <c r="A107" i="23"/>
  <c r="J107" i="23" s="1"/>
  <c r="Q106" i="23"/>
  <c r="P106" i="23"/>
  <c r="O106" i="23"/>
  <c r="T105" i="23"/>
  <c r="L105" i="23" s="1"/>
  <c r="K105" i="23"/>
  <c r="N105" i="23" s="1"/>
  <c r="G105" i="23"/>
  <c r="F105" i="23"/>
  <c r="E105" i="23"/>
  <c r="A105" i="23"/>
  <c r="J105" i="23" s="1"/>
  <c r="M105" i="23" s="1"/>
  <c r="T104" i="23"/>
  <c r="L104" i="23"/>
  <c r="K104" i="23"/>
  <c r="N104" i="23" s="1"/>
  <c r="G104" i="23"/>
  <c r="F104" i="23"/>
  <c r="E104" i="23"/>
  <c r="A104" i="23"/>
  <c r="J104" i="23" s="1"/>
  <c r="M104" i="23" s="1"/>
  <c r="T103" i="23"/>
  <c r="L103" i="23" s="1"/>
  <c r="K103" i="23"/>
  <c r="N103" i="23" s="1"/>
  <c r="G103" i="23"/>
  <c r="F103" i="23"/>
  <c r="E103" i="23"/>
  <c r="A103" i="23"/>
  <c r="J103" i="23" s="1"/>
  <c r="M103" i="23" s="1"/>
  <c r="T102" i="23"/>
  <c r="K102" i="23" s="1"/>
  <c r="N102" i="23" s="1"/>
  <c r="L102" i="23"/>
  <c r="G102" i="23"/>
  <c r="F102" i="23"/>
  <c r="E102" i="23"/>
  <c r="A102" i="23"/>
  <c r="J102" i="23" s="1"/>
  <c r="M102" i="23" s="1"/>
  <c r="T101" i="23"/>
  <c r="G101" i="23"/>
  <c r="F101" i="23"/>
  <c r="E101" i="23"/>
  <c r="A101" i="23"/>
  <c r="J101" i="23" s="1"/>
  <c r="T100" i="23"/>
  <c r="L100" i="23" s="1"/>
  <c r="G100" i="23"/>
  <c r="F100" i="23"/>
  <c r="E100" i="23"/>
  <c r="A100" i="23"/>
  <c r="J100" i="23" s="1"/>
  <c r="M100" i="23" s="1"/>
  <c r="T98" i="23"/>
  <c r="L98" i="23" s="1"/>
  <c r="K98" i="23"/>
  <c r="G98" i="23"/>
  <c r="F98" i="23"/>
  <c r="E98" i="23"/>
  <c r="A98" i="23"/>
  <c r="J98" i="23" s="1"/>
  <c r="M98" i="23" s="1"/>
  <c r="T97" i="23"/>
  <c r="L97" i="23"/>
  <c r="K97" i="23"/>
  <c r="G97" i="23"/>
  <c r="F97" i="23"/>
  <c r="E97" i="23"/>
  <c r="A97" i="23"/>
  <c r="J97" i="23" s="1"/>
  <c r="T96" i="23"/>
  <c r="K96" i="23" s="1"/>
  <c r="L96" i="23"/>
  <c r="G96" i="23"/>
  <c r="F96" i="23"/>
  <c r="E96" i="23"/>
  <c r="A96" i="23"/>
  <c r="J96" i="23" s="1"/>
  <c r="M96" i="23" s="1"/>
  <c r="T95" i="23"/>
  <c r="L95" i="23"/>
  <c r="N95" i="23" s="1"/>
  <c r="K95" i="23"/>
  <c r="G95" i="23"/>
  <c r="F95" i="23"/>
  <c r="E95" i="23"/>
  <c r="A95" i="23"/>
  <c r="J95" i="23" s="1"/>
  <c r="M95" i="23" s="1"/>
  <c r="T94" i="23"/>
  <c r="L94" i="23"/>
  <c r="K94" i="23"/>
  <c r="N94" i="23" s="1"/>
  <c r="G94" i="23"/>
  <c r="F94" i="23"/>
  <c r="E94" i="23"/>
  <c r="A94" i="23"/>
  <c r="J94" i="23" s="1"/>
  <c r="T93" i="23"/>
  <c r="L93" i="23"/>
  <c r="K93" i="23"/>
  <c r="G93" i="23"/>
  <c r="F93" i="23"/>
  <c r="E93" i="23"/>
  <c r="A93" i="23"/>
  <c r="J93" i="23" s="1"/>
  <c r="M93" i="23" s="1"/>
  <c r="T92" i="23"/>
  <c r="L92" i="23" s="1"/>
  <c r="K92" i="23"/>
  <c r="G92" i="23"/>
  <c r="F92" i="23"/>
  <c r="E92" i="23"/>
  <c r="A92" i="23"/>
  <c r="J92" i="23" s="1"/>
  <c r="T91" i="23"/>
  <c r="L91" i="23"/>
  <c r="K91" i="23"/>
  <c r="N91" i="23" s="1"/>
  <c r="G91" i="23"/>
  <c r="F91" i="23"/>
  <c r="E91" i="23"/>
  <c r="A91" i="23"/>
  <c r="J91" i="23" s="1"/>
  <c r="M91" i="23" s="1"/>
  <c r="T90" i="23"/>
  <c r="L90" i="23" s="1"/>
  <c r="G90" i="23"/>
  <c r="F90" i="23"/>
  <c r="E90" i="23"/>
  <c r="A90" i="23"/>
  <c r="J90" i="23" s="1"/>
  <c r="M90" i="23" s="1"/>
  <c r="T89" i="23"/>
  <c r="L89" i="23"/>
  <c r="K89" i="23"/>
  <c r="G89" i="23"/>
  <c r="F89" i="23"/>
  <c r="E89" i="23"/>
  <c r="A89" i="23"/>
  <c r="J89" i="23" s="1"/>
  <c r="M89" i="23" s="1"/>
  <c r="T88" i="23"/>
  <c r="K88" i="23" s="1"/>
  <c r="G88" i="23"/>
  <c r="F88" i="23"/>
  <c r="E88" i="23"/>
  <c r="A88" i="23"/>
  <c r="J88" i="23" s="1"/>
  <c r="T87" i="23"/>
  <c r="L87" i="23"/>
  <c r="K87" i="23"/>
  <c r="N87" i="23" s="1"/>
  <c r="G87" i="23"/>
  <c r="F87" i="23"/>
  <c r="E87" i="23"/>
  <c r="A87" i="23"/>
  <c r="J87" i="23" s="1"/>
  <c r="M87" i="23" s="1"/>
  <c r="T86" i="23"/>
  <c r="L86" i="23"/>
  <c r="K86" i="23"/>
  <c r="N86" i="23" s="1"/>
  <c r="G86" i="23"/>
  <c r="F86" i="23"/>
  <c r="E86" i="23"/>
  <c r="A86" i="23"/>
  <c r="J86" i="23" s="1"/>
  <c r="M86" i="23" s="1"/>
  <c r="T85" i="23"/>
  <c r="L85" i="23"/>
  <c r="K85" i="23"/>
  <c r="G85" i="23"/>
  <c r="F85" i="23"/>
  <c r="E85" i="23"/>
  <c r="A85" i="23"/>
  <c r="J85" i="23" s="1"/>
  <c r="M85" i="23" s="1"/>
  <c r="T84" i="23"/>
  <c r="L84" i="23"/>
  <c r="K84" i="23"/>
  <c r="G84" i="23"/>
  <c r="F84" i="23"/>
  <c r="E84" i="23"/>
  <c r="A84" i="23"/>
  <c r="J84" i="23" s="1"/>
  <c r="M84" i="23" s="1"/>
  <c r="T83" i="23"/>
  <c r="L83" i="23"/>
  <c r="K83" i="23"/>
  <c r="G83" i="23"/>
  <c r="F83" i="23"/>
  <c r="E83" i="23"/>
  <c r="A83" i="23"/>
  <c r="J83" i="23" s="1"/>
  <c r="M83" i="23" s="1"/>
  <c r="T82" i="23"/>
  <c r="L82" i="23" s="1"/>
  <c r="G82" i="23"/>
  <c r="F82" i="23"/>
  <c r="E82" i="23"/>
  <c r="A82" i="23"/>
  <c r="J82" i="23" s="1"/>
  <c r="M82" i="23" s="1"/>
  <c r="T81" i="23"/>
  <c r="L81" i="23"/>
  <c r="K81" i="23"/>
  <c r="G81" i="23"/>
  <c r="F81" i="23"/>
  <c r="E81" i="23"/>
  <c r="A81" i="23"/>
  <c r="J81" i="23" s="1"/>
  <c r="M81" i="23" s="1"/>
  <c r="T80" i="23"/>
  <c r="K80" i="23" s="1"/>
  <c r="G80" i="23"/>
  <c r="F80" i="23"/>
  <c r="E80" i="23"/>
  <c r="A80" i="23"/>
  <c r="J80" i="23" s="1"/>
  <c r="M80" i="23" s="1"/>
  <c r="T79" i="23"/>
  <c r="L79" i="23"/>
  <c r="K79" i="23"/>
  <c r="G79" i="23"/>
  <c r="F79" i="23"/>
  <c r="E79" i="23"/>
  <c r="A79" i="23"/>
  <c r="J79" i="23" s="1"/>
  <c r="M79" i="23" s="1"/>
  <c r="T78" i="23"/>
  <c r="L78" i="23"/>
  <c r="K78" i="23"/>
  <c r="N78" i="23" s="1"/>
  <c r="G78" i="23"/>
  <c r="F78" i="23"/>
  <c r="E78" i="23"/>
  <c r="A78" i="23"/>
  <c r="J78" i="23" s="1"/>
  <c r="M78" i="23" s="1"/>
  <c r="T77" i="23"/>
  <c r="L77" i="23"/>
  <c r="K77" i="23"/>
  <c r="N77" i="23" s="1"/>
  <c r="G77" i="23"/>
  <c r="F77" i="23"/>
  <c r="E77" i="23"/>
  <c r="A77" i="23"/>
  <c r="J77" i="23" s="1"/>
  <c r="M77" i="23" s="1"/>
  <c r="T76" i="23"/>
  <c r="K76" i="23" s="1"/>
  <c r="L76" i="23"/>
  <c r="G76" i="23"/>
  <c r="F76" i="23"/>
  <c r="E76" i="23"/>
  <c r="A76" i="23"/>
  <c r="J76" i="23" s="1"/>
  <c r="M76" i="23" s="1"/>
  <c r="T75" i="23"/>
  <c r="L75" i="23"/>
  <c r="K75" i="23"/>
  <c r="N75" i="23" s="1"/>
  <c r="G75" i="23"/>
  <c r="F75" i="23"/>
  <c r="E75" i="23"/>
  <c r="A75" i="23"/>
  <c r="J75" i="23" s="1"/>
  <c r="M75" i="23" s="1"/>
  <c r="T74" i="23"/>
  <c r="L74" i="23" s="1"/>
  <c r="K74" i="23"/>
  <c r="G74" i="23"/>
  <c r="F74" i="23"/>
  <c r="E74" i="23"/>
  <c r="A74" i="23"/>
  <c r="J74" i="23" s="1"/>
  <c r="M74" i="23" s="1"/>
  <c r="T73" i="23"/>
  <c r="L73" i="23"/>
  <c r="K73" i="23"/>
  <c r="N73" i="23" s="1"/>
  <c r="G73" i="23"/>
  <c r="F73" i="23"/>
  <c r="E73" i="23"/>
  <c r="A73" i="23"/>
  <c r="J73" i="23" s="1"/>
  <c r="M73" i="23" s="1"/>
  <c r="T72" i="23"/>
  <c r="K72" i="23" s="1"/>
  <c r="L72" i="23"/>
  <c r="G72" i="23"/>
  <c r="F72" i="23"/>
  <c r="E72" i="23"/>
  <c r="A72" i="23"/>
  <c r="J72" i="23" s="1"/>
  <c r="T70" i="23"/>
  <c r="L70" i="23" s="1"/>
  <c r="L69" i="23" s="1"/>
  <c r="K70" i="23"/>
  <c r="G70" i="23"/>
  <c r="F70" i="23"/>
  <c r="E70" i="23"/>
  <c r="A70" i="23"/>
  <c r="J70" i="23" s="1"/>
  <c r="T68" i="23"/>
  <c r="L68" i="23"/>
  <c r="K68" i="23"/>
  <c r="N68" i="23" s="1"/>
  <c r="G68" i="23"/>
  <c r="F68" i="23"/>
  <c r="E68" i="23"/>
  <c r="A68" i="23"/>
  <c r="J68" i="23" s="1"/>
  <c r="M68" i="23" s="1"/>
  <c r="T67" i="23"/>
  <c r="L67" i="23" s="1"/>
  <c r="K67" i="23"/>
  <c r="G67" i="23"/>
  <c r="F67" i="23"/>
  <c r="E67" i="23"/>
  <c r="A67" i="23"/>
  <c r="J67" i="23" s="1"/>
  <c r="M67" i="23" s="1"/>
  <c r="T66" i="23"/>
  <c r="N66" i="23"/>
  <c r="L66" i="23"/>
  <c r="K66" i="23"/>
  <c r="G66" i="23"/>
  <c r="F66" i="23"/>
  <c r="E66" i="23"/>
  <c r="A66" i="23"/>
  <c r="J66" i="23" s="1"/>
  <c r="M66" i="23" s="1"/>
  <c r="T65" i="23"/>
  <c r="L65" i="23" s="1"/>
  <c r="K65" i="23"/>
  <c r="N65" i="23" s="1"/>
  <c r="G65" i="23"/>
  <c r="F65" i="23"/>
  <c r="E65" i="23"/>
  <c r="A65" i="23"/>
  <c r="J65" i="23" s="1"/>
  <c r="M65" i="23" s="1"/>
  <c r="T64" i="23"/>
  <c r="L64" i="23"/>
  <c r="K64" i="23"/>
  <c r="G64" i="23"/>
  <c r="F64" i="23"/>
  <c r="E64" i="23"/>
  <c r="A64" i="23"/>
  <c r="J64" i="23" s="1"/>
  <c r="M64" i="23" s="1"/>
  <c r="T63" i="23"/>
  <c r="L63" i="23" s="1"/>
  <c r="K63" i="23"/>
  <c r="G63" i="23"/>
  <c r="F63" i="23"/>
  <c r="E63" i="23"/>
  <c r="A63" i="23"/>
  <c r="J63" i="23" s="1"/>
  <c r="M63" i="23" s="1"/>
  <c r="T62" i="23"/>
  <c r="L62" i="23"/>
  <c r="K62" i="23"/>
  <c r="G62" i="23"/>
  <c r="F62" i="23"/>
  <c r="E62" i="23"/>
  <c r="A62" i="23"/>
  <c r="J62" i="23" s="1"/>
  <c r="M62" i="23" s="1"/>
  <c r="T61" i="23"/>
  <c r="K61" i="23" s="1"/>
  <c r="G61" i="23"/>
  <c r="F61" i="23"/>
  <c r="E61" i="23"/>
  <c r="A61" i="23"/>
  <c r="J61" i="23" s="1"/>
  <c r="T60" i="23"/>
  <c r="L60" i="23"/>
  <c r="K60" i="23"/>
  <c r="G60" i="23"/>
  <c r="F60" i="23"/>
  <c r="E60" i="23"/>
  <c r="A60" i="23"/>
  <c r="J60" i="23" s="1"/>
  <c r="M60" i="23" s="1"/>
  <c r="T59" i="23"/>
  <c r="L59" i="23" s="1"/>
  <c r="G59" i="23"/>
  <c r="F59" i="23"/>
  <c r="E59" i="23"/>
  <c r="A59" i="23"/>
  <c r="J59" i="23" s="1"/>
  <c r="M59" i="23" s="1"/>
  <c r="T58" i="23"/>
  <c r="L58" i="23"/>
  <c r="K58" i="23"/>
  <c r="G58" i="23"/>
  <c r="F58" i="23"/>
  <c r="E58" i="23"/>
  <c r="A58" i="23"/>
  <c r="J58" i="23" s="1"/>
  <c r="M58" i="23" s="1"/>
  <c r="T57" i="23"/>
  <c r="K57" i="23" s="1"/>
  <c r="G57" i="23"/>
  <c r="F57" i="23"/>
  <c r="E57" i="23"/>
  <c r="A57" i="23"/>
  <c r="J57" i="23" s="1"/>
  <c r="T56" i="23"/>
  <c r="L56" i="23"/>
  <c r="K56" i="23"/>
  <c r="G56" i="23"/>
  <c r="F56" i="23"/>
  <c r="E56" i="23"/>
  <c r="A56" i="23"/>
  <c r="J56" i="23" s="1"/>
  <c r="M56" i="23" s="1"/>
  <c r="T55" i="23"/>
  <c r="L55" i="23" s="1"/>
  <c r="G55" i="23"/>
  <c r="F55" i="23"/>
  <c r="E55" i="23"/>
  <c r="A55" i="23"/>
  <c r="J55" i="23" s="1"/>
  <c r="M55" i="23" s="1"/>
  <c r="T54" i="23"/>
  <c r="L54" i="23"/>
  <c r="K54" i="23"/>
  <c r="N54" i="23" s="1"/>
  <c r="G54" i="23"/>
  <c r="F54" i="23"/>
  <c r="E54" i="23"/>
  <c r="A54" i="23"/>
  <c r="J54" i="23" s="1"/>
  <c r="M54" i="23" s="1"/>
  <c r="T53" i="23"/>
  <c r="K53" i="23" s="1"/>
  <c r="N53" i="23" s="1"/>
  <c r="G53" i="23"/>
  <c r="F53" i="23"/>
  <c r="E53" i="23"/>
  <c r="A53" i="23"/>
  <c r="J53" i="23" s="1"/>
  <c r="M53" i="23" s="1"/>
  <c r="T52" i="23"/>
  <c r="L52" i="23"/>
  <c r="K52" i="23"/>
  <c r="N52" i="23" s="1"/>
  <c r="G52" i="23"/>
  <c r="F52" i="23"/>
  <c r="E52" i="23"/>
  <c r="A52" i="23"/>
  <c r="J52" i="23" s="1"/>
  <c r="M52" i="23" s="1"/>
  <c r="T51" i="23"/>
  <c r="L51" i="23" s="1"/>
  <c r="G51" i="23"/>
  <c r="F51" i="23"/>
  <c r="E51" i="23"/>
  <c r="A51" i="23"/>
  <c r="J51" i="23" s="1"/>
  <c r="M51" i="23" s="1"/>
  <c r="T50" i="23"/>
  <c r="L50" i="23"/>
  <c r="K50" i="23"/>
  <c r="G50" i="23"/>
  <c r="F50" i="23"/>
  <c r="E50" i="23"/>
  <c r="A50" i="23"/>
  <c r="J50" i="23" s="1"/>
  <c r="M50" i="23" s="1"/>
  <c r="T49" i="23"/>
  <c r="K49" i="23" s="1"/>
  <c r="G49" i="23"/>
  <c r="F49" i="23"/>
  <c r="E49" i="23"/>
  <c r="A49" i="23"/>
  <c r="J49" i="23" s="1"/>
  <c r="T48" i="23"/>
  <c r="L48" i="23"/>
  <c r="K48" i="23"/>
  <c r="G48" i="23"/>
  <c r="F48" i="23"/>
  <c r="E48" i="23"/>
  <c r="A48" i="23"/>
  <c r="J48" i="23" s="1"/>
  <c r="M48" i="23" s="1"/>
  <c r="T47" i="23"/>
  <c r="K47" i="23" s="1"/>
  <c r="G47" i="23"/>
  <c r="F47" i="23"/>
  <c r="E47" i="23"/>
  <c r="A47" i="23"/>
  <c r="J47" i="23" s="1"/>
  <c r="T46" i="23"/>
  <c r="L46" i="23"/>
  <c r="K46" i="23"/>
  <c r="G46" i="23"/>
  <c r="F46" i="23"/>
  <c r="E46" i="23"/>
  <c r="A46" i="23"/>
  <c r="J46" i="23" s="1"/>
  <c r="M46" i="23" s="1"/>
  <c r="T45" i="23"/>
  <c r="K45" i="23" s="1"/>
  <c r="G45" i="23"/>
  <c r="F45" i="23"/>
  <c r="E45" i="23"/>
  <c r="A45" i="23"/>
  <c r="J45" i="23" s="1"/>
  <c r="T44" i="23"/>
  <c r="L44" i="23"/>
  <c r="K44" i="23"/>
  <c r="G44" i="23"/>
  <c r="F44" i="23"/>
  <c r="E44" i="23"/>
  <c r="A44" i="23"/>
  <c r="J44" i="23" s="1"/>
  <c r="T40" i="23"/>
  <c r="N40" i="23"/>
  <c r="M40" i="23"/>
  <c r="G40" i="23"/>
  <c r="F40" i="23"/>
  <c r="E40" i="23"/>
  <c r="L39" i="23"/>
  <c r="K39" i="23"/>
  <c r="N39" i="23" s="1"/>
  <c r="J39" i="23"/>
  <c r="M39" i="23" s="1"/>
  <c r="T38" i="23"/>
  <c r="N38" i="23"/>
  <c r="M38" i="23"/>
  <c r="G38" i="23"/>
  <c r="F38" i="23"/>
  <c r="E38" i="23"/>
  <c r="N37" i="23"/>
  <c r="L37" i="23"/>
  <c r="K37" i="23"/>
  <c r="J37" i="23"/>
  <c r="M37" i="23" s="1"/>
  <c r="T36" i="23"/>
  <c r="N36" i="23"/>
  <c r="M36" i="23"/>
  <c r="G36" i="23"/>
  <c r="F36" i="23"/>
  <c r="E36" i="23"/>
  <c r="T35" i="23"/>
  <c r="N35" i="23"/>
  <c r="M35" i="23"/>
  <c r="G35" i="23"/>
  <c r="F35" i="23"/>
  <c r="E35" i="23"/>
  <c r="L34" i="23"/>
  <c r="K34" i="23"/>
  <c r="N34" i="23" s="1"/>
  <c r="J34" i="23"/>
  <c r="M34" i="23" s="1"/>
  <c r="T33" i="23"/>
  <c r="N33" i="23"/>
  <c r="M33" i="23"/>
  <c r="G33" i="23"/>
  <c r="F33" i="23"/>
  <c r="E33" i="23"/>
  <c r="T32" i="23"/>
  <c r="N32" i="23"/>
  <c r="M32" i="23"/>
  <c r="G32" i="23"/>
  <c r="F32" i="23"/>
  <c r="E32" i="23"/>
  <c r="L31" i="23"/>
  <c r="M31" i="23" s="1"/>
  <c r="K31" i="23"/>
  <c r="N31" i="23" s="1"/>
  <c r="J31" i="23"/>
  <c r="T30" i="23"/>
  <c r="N30" i="23"/>
  <c r="M30" i="23"/>
  <c r="G30" i="23"/>
  <c r="F30" i="23"/>
  <c r="E30" i="23"/>
  <c r="T29" i="23"/>
  <c r="N29" i="23"/>
  <c r="M29" i="23"/>
  <c r="G29" i="23"/>
  <c r="F29" i="23"/>
  <c r="E29" i="23"/>
  <c r="T28" i="23"/>
  <c r="N28" i="23"/>
  <c r="M28" i="23"/>
  <c r="G28" i="23"/>
  <c r="F28" i="23"/>
  <c r="E28" i="23"/>
  <c r="L27" i="23"/>
  <c r="K27" i="23"/>
  <c r="N27" i="23" s="1"/>
  <c r="J27" i="23"/>
  <c r="M27" i="23" s="1"/>
  <c r="T26" i="23"/>
  <c r="N26" i="23"/>
  <c r="M26" i="23"/>
  <c r="J26" i="23"/>
  <c r="G26" i="23"/>
  <c r="F26" i="23"/>
  <c r="E26" i="23"/>
  <c r="T25" i="23"/>
  <c r="N25" i="23"/>
  <c r="J25" i="23"/>
  <c r="M25" i="23" s="1"/>
  <c r="G25" i="23"/>
  <c r="F25" i="23"/>
  <c r="E25" i="23"/>
  <c r="N24" i="23"/>
  <c r="L24" i="23"/>
  <c r="K24" i="23"/>
  <c r="J24" i="23"/>
  <c r="M24" i="23" s="1"/>
  <c r="T23" i="23"/>
  <c r="N23" i="23"/>
  <c r="M23" i="23"/>
  <c r="G23" i="23"/>
  <c r="F23" i="23"/>
  <c r="E23" i="23"/>
  <c r="T22" i="23"/>
  <c r="N22" i="23"/>
  <c r="M22" i="23"/>
  <c r="G22" i="23"/>
  <c r="F22" i="23"/>
  <c r="E22" i="23"/>
  <c r="T21" i="23"/>
  <c r="N21" i="23"/>
  <c r="M21" i="23"/>
  <c r="G21" i="23"/>
  <c r="F21" i="23"/>
  <c r="E21" i="23"/>
  <c r="T20" i="23"/>
  <c r="N20" i="23"/>
  <c r="M20" i="23"/>
  <c r="G20" i="23"/>
  <c r="F20" i="23"/>
  <c r="E20" i="23"/>
  <c r="L19" i="23"/>
  <c r="K19" i="23"/>
  <c r="N19" i="23" s="1"/>
  <c r="J19" i="23"/>
  <c r="M19" i="23" s="1"/>
  <c r="T18" i="23"/>
  <c r="N18" i="23"/>
  <c r="M18" i="23"/>
  <c r="G18" i="23"/>
  <c r="F18" i="23"/>
  <c r="E18" i="23"/>
  <c r="T17" i="23"/>
  <c r="N17" i="23"/>
  <c r="J17" i="23"/>
  <c r="M17" i="23" s="1"/>
  <c r="G17" i="23"/>
  <c r="F17" i="23"/>
  <c r="E17" i="23"/>
  <c r="M16" i="23"/>
  <c r="L16" i="23"/>
  <c r="N16" i="23" s="1"/>
  <c r="K16" i="23"/>
  <c r="J16" i="23"/>
  <c r="T15" i="23"/>
  <c r="N15" i="23"/>
  <c r="J15" i="23"/>
  <c r="M15" i="23" s="1"/>
  <c r="G15" i="23"/>
  <c r="F15" i="23"/>
  <c r="E15" i="23"/>
  <c r="T14" i="23"/>
  <c r="N14" i="23"/>
  <c r="M14" i="23"/>
  <c r="J14" i="23"/>
  <c r="G14" i="23"/>
  <c r="F14" i="23"/>
  <c r="E14" i="23"/>
  <c r="T13" i="23"/>
  <c r="N13" i="23"/>
  <c r="M13" i="23"/>
  <c r="J13" i="23"/>
  <c r="G13" i="23"/>
  <c r="F13" i="23"/>
  <c r="E13" i="23"/>
  <c r="T12" i="23"/>
  <c r="N12" i="23"/>
  <c r="M12" i="23"/>
  <c r="G12" i="23"/>
  <c r="F12" i="23"/>
  <c r="E12" i="23"/>
  <c r="T11" i="23"/>
  <c r="N11" i="23"/>
  <c r="M11" i="23"/>
  <c r="G11" i="23"/>
  <c r="F11" i="23"/>
  <c r="E11" i="23"/>
  <c r="L10" i="23"/>
  <c r="K10" i="23"/>
  <c r="N10" i="23" s="1"/>
  <c r="J10" i="23"/>
  <c r="M10" i="23" s="1"/>
  <c r="T9" i="23"/>
  <c r="N9" i="23"/>
  <c r="M9" i="23"/>
  <c r="G9" i="23"/>
  <c r="F9" i="23"/>
  <c r="E9" i="23"/>
  <c r="T8" i="23"/>
  <c r="N8" i="23"/>
  <c r="M8" i="23"/>
  <c r="G8" i="23"/>
  <c r="F8" i="23"/>
  <c r="E8" i="23"/>
  <c r="L7" i="23"/>
  <c r="L6" i="23" s="1"/>
  <c r="K7" i="23"/>
  <c r="N7" i="23" s="1"/>
  <c r="J7" i="23"/>
  <c r="D11" i="14"/>
  <c r="C11" i="14"/>
  <c r="N64" i="23" l="1"/>
  <c r="N175" i="23"/>
  <c r="N180" i="23"/>
  <c r="N114" i="23"/>
  <c r="N130" i="23"/>
  <c r="N132" i="23"/>
  <c r="N134" i="23"/>
  <c r="N253" i="23"/>
  <c r="N264" i="23"/>
  <c r="N56" i="23"/>
  <c r="N62" i="23"/>
  <c r="N83" i="23"/>
  <c r="N120" i="23"/>
  <c r="N122" i="23"/>
  <c r="N67" i="23"/>
  <c r="N74" i="23"/>
  <c r="N85" i="23"/>
  <c r="N93" i="23"/>
  <c r="N108" i="23"/>
  <c r="N112" i="23"/>
  <c r="N116" i="23"/>
  <c r="N118" i="23"/>
  <c r="N129" i="23"/>
  <c r="N146" i="23"/>
  <c r="N159" i="23"/>
  <c r="N240" i="23"/>
  <c r="N58" i="23"/>
  <c r="N60" i="23"/>
  <c r="N63" i="23"/>
  <c r="N70" i="23"/>
  <c r="N79" i="23"/>
  <c r="N84" i="23"/>
  <c r="N113" i="23"/>
  <c r="N124" i="23"/>
  <c r="N126" i="23"/>
  <c r="N135" i="23"/>
  <c r="N163" i="23"/>
  <c r="L262" i="23"/>
  <c r="N110" i="23"/>
  <c r="N119" i="23"/>
  <c r="N121" i="23"/>
  <c r="N176" i="23"/>
  <c r="N190" i="23"/>
  <c r="N247" i="23"/>
  <c r="L250" i="23"/>
  <c r="N98" i="23"/>
  <c r="N117" i="23"/>
  <c r="N125" i="23"/>
  <c r="N133" i="23"/>
  <c r="N150" i="23"/>
  <c r="N165" i="23"/>
  <c r="N187" i="23"/>
  <c r="N191" i="23"/>
  <c r="N230" i="23"/>
  <c r="N238" i="23"/>
  <c r="M154" i="23"/>
  <c r="N50" i="23"/>
  <c r="N89" i="23"/>
  <c r="N97" i="23"/>
  <c r="M107" i="23"/>
  <c r="N168" i="23"/>
  <c r="N179" i="23"/>
  <c r="N46" i="23"/>
  <c r="N48" i="23"/>
  <c r="N72" i="23"/>
  <c r="N81" i="23"/>
  <c r="N96" i="23"/>
  <c r="N115" i="23"/>
  <c r="N123" i="23"/>
  <c r="N155" i="23"/>
  <c r="N167" i="23"/>
  <c r="N174" i="23"/>
  <c r="M189" i="23"/>
  <c r="M44" i="23"/>
  <c r="J43" i="23"/>
  <c r="M49" i="23"/>
  <c r="J99" i="23"/>
  <c r="M99" i="23" s="1"/>
  <c r="M101" i="23"/>
  <c r="M170" i="23"/>
  <c r="J169" i="23"/>
  <c r="M169" i="23" s="1"/>
  <c r="J69" i="23"/>
  <c r="M69" i="23" s="1"/>
  <c r="M70" i="23"/>
  <c r="N76" i="23"/>
  <c r="M92" i="23"/>
  <c r="M72" i="23"/>
  <c r="J71" i="23"/>
  <c r="K51" i="23"/>
  <c r="N51" i="23" s="1"/>
  <c r="K55" i="23"/>
  <c r="N55" i="23" s="1"/>
  <c r="K59" i="23"/>
  <c r="N59" i="23" s="1"/>
  <c r="K69" i="23"/>
  <c r="N69" i="23" s="1"/>
  <c r="N92" i="23"/>
  <c r="M97" i="23"/>
  <c r="L145" i="23"/>
  <c r="K145" i="23"/>
  <c r="M157" i="23"/>
  <c r="J156" i="23"/>
  <c r="N157" i="23"/>
  <c r="J6" i="23"/>
  <c r="M6" i="23" s="1"/>
  <c r="M7" i="23"/>
  <c r="N44" i="23"/>
  <c r="L45" i="23"/>
  <c r="L47" i="23"/>
  <c r="M47" i="23" s="1"/>
  <c r="L49" i="23"/>
  <c r="N49" i="23" s="1"/>
  <c r="L53" i="23"/>
  <c r="L57" i="23"/>
  <c r="N57" i="23" s="1"/>
  <c r="L61" i="23"/>
  <c r="N61" i="23" s="1"/>
  <c r="L106" i="23"/>
  <c r="K6" i="23"/>
  <c r="N6" i="23" s="1"/>
  <c r="L80" i="23"/>
  <c r="K82" i="23"/>
  <c r="N82" i="23" s="1"/>
  <c r="M94" i="23"/>
  <c r="K100" i="23"/>
  <c r="L88" i="23"/>
  <c r="N88" i="23" s="1"/>
  <c r="K90" i="23"/>
  <c r="N90" i="23" s="1"/>
  <c r="N107" i="23"/>
  <c r="J136" i="23"/>
  <c r="N138" i="23"/>
  <c r="L140" i="23"/>
  <c r="L136" i="23" s="1"/>
  <c r="K140" i="23"/>
  <c r="N140" i="23" s="1"/>
  <c r="L147" i="23"/>
  <c r="M147" i="23" s="1"/>
  <c r="K147" i="23"/>
  <c r="L171" i="23"/>
  <c r="K171" i="23"/>
  <c r="L101" i="23"/>
  <c r="L99" i="23" s="1"/>
  <c r="K101" i="23"/>
  <c r="N101" i="23" s="1"/>
  <c r="K106" i="23"/>
  <c r="N106" i="23" s="1"/>
  <c r="N109" i="23"/>
  <c r="M111" i="23"/>
  <c r="N111" i="23"/>
  <c r="M144" i="23"/>
  <c r="J143" i="23"/>
  <c r="L152" i="23"/>
  <c r="M152" i="23" s="1"/>
  <c r="K152" i="23"/>
  <c r="L161" i="23"/>
  <c r="M161" i="23" s="1"/>
  <c r="K161" i="23"/>
  <c r="L188" i="23"/>
  <c r="K188" i="23"/>
  <c r="N188" i="23" s="1"/>
  <c r="K201" i="23"/>
  <c r="N201" i="23" s="1"/>
  <c r="L201" i="23"/>
  <c r="L196" i="23" s="1"/>
  <c r="M226" i="23"/>
  <c r="J225" i="23"/>
  <c r="M197" i="23"/>
  <c r="J196" i="23"/>
  <c r="M196" i="23" s="1"/>
  <c r="J216" i="23"/>
  <c r="M216" i="23" s="1"/>
  <c r="M217" i="23"/>
  <c r="M251" i="23"/>
  <c r="J250" i="23"/>
  <c r="M250" i="23" s="1"/>
  <c r="K250" i="23"/>
  <c r="N250" i="23" s="1"/>
  <c r="N251" i="23"/>
  <c r="M264" i="23"/>
  <c r="J262" i="23"/>
  <c r="M262" i="23" s="1"/>
  <c r="L151" i="23"/>
  <c r="L143" i="23" s="1"/>
  <c r="K151" i="23"/>
  <c r="N151" i="23" s="1"/>
  <c r="N154" i="23"/>
  <c r="L170" i="23"/>
  <c r="L169" i="23" s="1"/>
  <c r="K170" i="23"/>
  <c r="L185" i="23"/>
  <c r="K185" i="23"/>
  <c r="L195" i="23"/>
  <c r="K195" i="23"/>
  <c r="N195" i="23" s="1"/>
  <c r="J228" i="23"/>
  <c r="J232" i="23"/>
  <c r="M266" i="23"/>
  <c r="J265" i="23"/>
  <c r="M265" i="23" s="1"/>
  <c r="J106" i="23"/>
  <c r="M106" i="23" s="1"/>
  <c r="M160" i="23"/>
  <c r="M168" i="23"/>
  <c r="J177" i="23"/>
  <c r="J206" i="23"/>
  <c r="L214" i="23"/>
  <c r="M214" i="23" s="1"/>
  <c r="K214" i="23"/>
  <c r="N214" i="23" s="1"/>
  <c r="K205" i="23"/>
  <c r="N205" i="23" s="1"/>
  <c r="L258" i="23"/>
  <c r="K153" i="23"/>
  <c r="N153" i="23" s="1"/>
  <c r="K172" i="23"/>
  <c r="N172" i="23" s="1"/>
  <c r="N189" i="23"/>
  <c r="K212" i="23"/>
  <c r="N212" i="23" s="1"/>
  <c r="L213" i="23"/>
  <c r="L206" i="23" s="1"/>
  <c r="K213" i="23"/>
  <c r="N213" i="23" s="1"/>
  <c r="L218" i="23"/>
  <c r="L216" i="23" s="1"/>
  <c r="K218" i="23"/>
  <c r="L244" i="23"/>
  <c r="L241" i="23" s="1"/>
  <c r="K244" i="23"/>
  <c r="L257" i="23"/>
  <c r="L254" i="23" s="1"/>
  <c r="K257" i="23"/>
  <c r="N257" i="23" s="1"/>
  <c r="K262" i="23"/>
  <c r="N262" i="23" s="1"/>
  <c r="M193" i="23"/>
  <c r="N193" i="23"/>
  <c r="N197" i="23"/>
  <c r="L226" i="23"/>
  <c r="K226" i="23"/>
  <c r="L229" i="23"/>
  <c r="L228" i="23" s="1"/>
  <c r="L227" i="23" s="1"/>
  <c r="K229" i="23"/>
  <c r="L232" i="23"/>
  <c r="M242" i="23"/>
  <c r="J241" i="23"/>
  <c r="N242" i="23"/>
  <c r="K241" i="23"/>
  <c r="M255" i="23"/>
  <c r="J254" i="23"/>
  <c r="N255" i="23"/>
  <c r="J258" i="23"/>
  <c r="M258" i="23" s="1"/>
  <c r="M244" i="23"/>
  <c r="M257" i="23"/>
  <c r="K265" i="23"/>
  <c r="N265" i="23" s="1"/>
  <c r="N235" i="23"/>
  <c r="N237" i="23"/>
  <c r="N239" i="23"/>
  <c r="M246" i="23"/>
  <c r="K232" i="23"/>
  <c r="K258" i="23"/>
  <c r="N258" i="23" s="1"/>
  <c r="N171" i="23" l="1"/>
  <c r="N161" i="23"/>
  <c r="K136" i="23"/>
  <c r="N136" i="23" s="1"/>
  <c r="L71" i="23"/>
  <c r="L43" i="23"/>
  <c r="L177" i="23"/>
  <c r="N152" i="23"/>
  <c r="N244" i="23"/>
  <c r="N147" i="23"/>
  <c r="N241" i="23"/>
  <c r="L231" i="23"/>
  <c r="J231" i="23"/>
  <c r="M231" i="23" s="1"/>
  <c r="M232" i="23"/>
  <c r="K169" i="23"/>
  <c r="N169" i="23" s="1"/>
  <c r="N170" i="23"/>
  <c r="J224" i="23"/>
  <c r="M224" i="23" s="1"/>
  <c r="M225" i="23"/>
  <c r="M143" i="23"/>
  <c r="J142" i="23"/>
  <c r="M57" i="23"/>
  <c r="N80" i="23"/>
  <c r="N45" i="23"/>
  <c r="M206" i="23"/>
  <c r="N229" i="23"/>
  <c r="K228" i="23"/>
  <c r="K196" i="23"/>
  <c r="N196" i="23" s="1"/>
  <c r="M177" i="23"/>
  <c r="M228" i="23"/>
  <c r="J227" i="23"/>
  <c r="M227" i="23" s="1"/>
  <c r="N100" i="23"/>
  <c r="K99" i="23"/>
  <c r="N99" i="23" s="1"/>
  <c r="K156" i="23"/>
  <c r="K143" i="23"/>
  <c r="N145" i="23"/>
  <c r="M71" i="23"/>
  <c r="M61" i="23"/>
  <c r="N47" i="23"/>
  <c r="M45" i="23"/>
  <c r="N218" i="23"/>
  <c r="K216" i="23"/>
  <c r="N216" i="23" s="1"/>
  <c r="M229" i="23"/>
  <c r="N185" i="23"/>
  <c r="K177" i="23"/>
  <c r="N177" i="23" s="1"/>
  <c r="M136" i="23"/>
  <c r="L156" i="23"/>
  <c r="L142" i="23" s="1"/>
  <c r="K71" i="23"/>
  <c r="M88" i="23"/>
  <c r="M43" i="23"/>
  <c r="J42" i="23"/>
  <c r="K254" i="23"/>
  <c r="N254" i="23" s="1"/>
  <c r="M254" i="23"/>
  <c r="M241" i="23"/>
  <c r="N232" i="23"/>
  <c r="N226" i="23"/>
  <c r="K225" i="23"/>
  <c r="K206" i="23"/>
  <c r="N206" i="23" s="1"/>
  <c r="M156" i="23"/>
  <c r="K43" i="23"/>
  <c r="N71" i="23" l="1"/>
  <c r="L42" i="23"/>
  <c r="K42" i="23"/>
  <c r="N43" i="23"/>
  <c r="M142" i="23"/>
  <c r="N143" i="23"/>
  <c r="K142" i="23"/>
  <c r="N142" i="23" s="1"/>
  <c r="N228" i="23"/>
  <c r="K227" i="23"/>
  <c r="N227" i="23" s="1"/>
  <c r="K231" i="23"/>
  <c r="N231" i="23" s="1"/>
  <c r="M42" i="23"/>
  <c r="J41" i="23"/>
  <c r="N225" i="23"/>
  <c r="K224" i="23"/>
  <c r="N224" i="23" s="1"/>
  <c r="N156" i="23"/>
  <c r="L41" i="23"/>
  <c r="N42" i="23" l="1"/>
  <c r="K41" i="23"/>
  <c r="N41" i="23" s="1"/>
  <c r="M41" i="23"/>
  <c r="T209" i="12" l="1"/>
  <c r="G209" i="12"/>
  <c r="F209" i="12"/>
  <c r="E209" i="12"/>
  <c r="A209" i="12"/>
  <c r="A266" i="12"/>
  <c r="A264" i="12"/>
  <c r="A263" i="12"/>
  <c r="A261" i="12"/>
  <c r="A260" i="12"/>
  <c r="A259" i="12"/>
  <c r="A257" i="12"/>
  <c r="A256" i="12"/>
  <c r="A255" i="12"/>
  <c r="A253" i="12"/>
  <c r="A252" i="12"/>
  <c r="A251" i="12"/>
  <c r="A249" i="12"/>
  <c r="A248" i="12"/>
  <c r="A247" i="12"/>
  <c r="A246" i="12"/>
  <c r="A245" i="12"/>
  <c r="A244" i="12"/>
  <c r="A243" i="12"/>
  <c r="A242" i="12"/>
  <c r="A240" i="12"/>
  <c r="A239" i="12"/>
  <c r="A238" i="12"/>
  <c r="A237" i="12"/>
  <c r="A236" i="12"/>
  <c r="A235" i="12"/>
  <c r="A234" i="12"/>
  <c r="A233" i="12"/>
  <c r="A230" i="12"/>
  <c r="A229" i="12"/>
  <c r="A226" i="12"/>
  <c r="A223" i="12"/>
  <c r="A222" i="12"/>
  <c r="A221" i="12"/>
  <c r="A220" i="12"/>
  <c r="A219" i="12"/>
  <c r="A218" i="12"/>
  <c r="A217" i="12"/>
  <c r="A215" i="12"/>
  <c r="A214" i="12"/>
  <c r="A213" i="12"/>
  <c r="A212" i="12"/>
  <c r="A211" i="12"/>
  <c r="A210" i="12"/>
  <c r="A208" i="12"/>
  <c r="A207" i="12"/>
  <c r="A205" i="12"/>
  <c r="A204" i="12"/>
  <c r="A203" i="12"/>
  <c r="A202" i="12"/>
  <c r="A201" i="12"/>
  <c r="A200" i="12"/>
  <c r="A199" i="12"/>
  <c r="A198" i="12"/>
  <c r="A197" i="12"/>
  <c r="A195" i="12"/>
  <c r="A194" i="12"/>
  <c r="A193" i="12"/>
  <c r="A192" i="12"/>
  <c r="A191" i="12"/>
  <c r="A190" i="12"/>
  <c r="A189" i="12"/>
  <c r="A188" i="12"/>
  <c r="A187" i="12"/>
  <c r="A186" i="12"/>
  <c r="A185" i="12"/>
  <c r="A184" i="12"/>
  <c r="A183" i="12"/>
  <c r="A182" i="12"/>
  <c r="A181" i="12"/>
  <c r="A180" i="12"/>
  <c r="A179" i="12"/>
  <c r="A178" i="12"/>
  <c r="A176" i="12"/>
  <c r="A175" i="12"/>
  <c r="A174" i="12"/>
  <c r="A173" i="12"/>
  <c r="A172" i="12"/>
  <c r="A171" i="12"/>
  <c r="A170" i="12"/>
  <c r="A168" i="12"/>
  <c r="A167" i="12"/>
  <c r="A166" i="12"/>
  <c r="A165" i="12"/>
  <c r="A164" i="12"/>
  <c r="A163" i="12"/>
  <c r="A162" i="12"/>
  <c r="A161" i="12"/>
  <c r="A160" i="12"/>
  <c r="A159" i="12"/>
  <c r="A158" i="12"/>
  <c r="A157" i="12"/>
  <c r="A155" i="12"/>
  <c r="A154" i="12"/>
  <c r="A153" i="12"/>
  <c r="A152" i="12"/>
  <c r="A151" i="12"/>
  <c r="A150" i="12"/>
  <c r="A149" i="12"/>
  <c r="A148" i="12"/>
  <c r="A147" i="12"/>
  <c r="A146" i="12"/>
  <c r="A145" i="12"/>
  <c r="A144" i="12"/>
  <c r="A141" i="12"/>
  <c r="A140" i="12"/>
  <c r="A139" i="12"/>
  <c r="A138" i="12"/>
  <c r="A137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5" i="12"/>
  <c r="A104" i="12"/>
  <c r="A103" i="12"/>
  <c r="A102" i="12"/>
  <c r="A101" i="12"/>
  <c r="A100" i="12"/>
  <c r="A98" i="12"/>
  <c r="A97" i="12"/>
  <c r="A96" i="12"/>
  <c r="A95" i="12"/>
  <c r="A94" i="12"/>
  <c r="A93" i="12"/>
  <c r="A92" i="12"/>
  <c r="A91" i="12"/>
  <c r="A90" i="12"/>
  <c r="A89" i="12"/>
  <c r="A88" i="12"/>
  <c r="A87" i="12"/>
  <c r="A86" i="12"/>
  <c r="A85" i="12"/>
  <c r="A84" i="12"/>
  <c r="A83" i="12"/>
  <c r="A82" i="12"/>
  <c r="A81" i="12"/>
  <c r="A80" i="12"/>
  <c r="A79" i="12"/>
  <c r="A78" i="12"/>
  <c r="A77" i="12"/>
  <c r="A76" i="12"/>
  <c r="A75" i="12"/>
  <c r="A74" i="12"/>
  <c r="A73" i="12"/>
  <c r="A72" i="12"/>
  <c r="A70" i="12"/>
  <c r="A68" i="12"/>
  <c r="A67" i="12"/>
  <c r="A66" i="12"/>
  <c r="A65" i="12"/>
  <c r="A64" i="12"/>
  <c r="A63" i="12"/>
  <c r="A62" i="12"/>
  <c r="A61" i="12"/>
  <c r="A60" i="12"/>
  <c r="A59" i="12"/>
  <c r="A58" i="12"/>
  <c r="A57" i="12"/>
  <c r="A56" i="12"/>
  <c r="A55" i="12"/>
  <c r="A54" i="12"/>
  <c r="A53" i="12"/>
  <c r="A52" i="12"/>
  <c r="A51" i="12"/>
  <c r="A50" i="12"/>
  <c r="A49" i="12"/>
  <c r="A48" i="12"/>
  <c r="A47" i="12"/>
  <c r="A46" i="12"/>
  <c r="A45" i="12"/>
  <c r="A44" i="12"/>
  <c r="T35" i="12" l="1"/>
  <c r="G35" i="12"/>
  <c r="F35" i="12"/>
  <c r="E35" i="12"/>
  <c r="T98" i="12"/>
  <c r="T97" i="12"/>
  <c r="T96" i="12"/>
  <c r="T95" i="12"/>
  <c r="T94" i="12"/>
  <c r="T93" i="12"/>
  <c r="T92" i="12"/>
  <c r="T91" i="12"/>
  <c r="T90" i="12"/>
  <c r="T89" i="12"/>
  <c r="T88" i="12"/>
  <c r="T87" i="12"/>
  <c r="T86" i="12"/>
  <c r="T85" i="12"/>
  <c r="T84" i="12"/>
  <c r="T83" i="12"/>
  <c r="T82" i="12"/>
  <c r="T81" i="12"/>
  <c r="T80" i="12"/>
  <c r="T79" i="12"/>
  <c r="T78" i="12"/>
  <c r="T77" i="12"/>
  <c r="T76" i="12"/>
  <c r="T75" i="12"/>
  <c r="T74" i="12"/>
  <c r="T73" i="12"/>
  <c r="T72" i="12"/>
  <c r="T70" i="12"/>
  <c r="T68" i="12"/>
  <c r="T67" i="12"/>
  <c r="T66" i="12"/>
  <c r="T65" i="12"/>
  <c r="T64" i="12"/>
  <c r="T63" i="12"/>
  <c r="T62" i="12"/>
  <c r="T61" i="12"/>
  <c r="T60" i="12"/>
  <c r="T59" i="12"/>
  <c r="T58" i="12"/>
  <c r="T57" i="12"/>
  <c r="T56" i="12"/>
  <c r="T55" i="12"/>
  <c r="T54" i="12"/>
  <c r="T53" i="12"/>
  <c r="T52" i="12"/>
  <c r="T51" i="12"/>
  <c r="T50" i="12"/>
  <c r="T49" i="12"/>
  <c r="T48" i="12"/>
  <c r="T47" i="12"/>
  <c r="T46" i="12"/>
  <c r="T45" i="12"/>
  <c r="T44" i="12"/>
  <c r="T107" i="12"/>
  <c r="T108" i="12"/>
  <c r="T109" i="12"/>
  <c r="T110" i="12"/>
  <c r="T111" i="12"/>
  <c r="T112" i="12"/>
  <c r="T113" i="12"/>
  <c r="T114" i="12"/>
  <c r="T115" i="12"/>
  <c r="T116" i="12"/>
  <c r="T117" i="12"/>
  <c r="T118" i="12"/>
  <c r="T119" i="12"/>
  <c r="T120" i="12"/>
  <c r="T121" i="12"/>
  <c r="T122" i="12"/>
  <c r="T123" i="12"/>
  <c r="T124" i="12"/>
  <c r="T125" i="12"/>
  <c r="T126" i="12"/>
  <c r="T127" i="12"/>
  <c r="T128" i="12"/>
  <c r="T129" i="12"/>
  <c r="T130" i="12"/>
  <c r="T131" i="12"/>
  <c r="T132" i="12"/>
  <c r="T133" i="12"/>
  <c r="T134" i="12"/>
  <c r="T135" i="12"/>
  <c r="T137" i="12"/>
  <c r="T138" i="12"/>
  <c r="T139" i="12"/>
  <c r="T140" i="12"/>
  <c r="T141" i="12"/>
  <c r="T144" i="12"/>
  <c r="T145" i="12"/>
  <c r="T146" i="12"/>
  <c r="T147" i="12"/>
  <c r="T148" i="12"/>
  <c r="T149" i="12"/>
  <c r="T150" i="12"/>
  <c r="T151" i="12"/>
  <c r="T152" i="12"/>
  <c r="T153" i="12"/>
  <c r="T154" i="12"/>
  <c r="T155" i="12"/>
  <c r="T157" i="12"/>
  <c r="T158" i="12"/>
  <c r="T159" i="12"/>
  <c r="T160" i="12"/>
  <c r="T161" i="12"/>
  <c r="T162" i="12"/>
  <c r="T163" i="12"/>
  <c r="T164" i="12"/>
  <c r="T165" i="12"/>
  <c r="T166" i="12"/>
  <c r="T167" i="12"/>
  <c r="T168" i="12"/>
  <c r="T170" i="12"/>
  <c r="T171" i="12"/>
  <c r="T172" i="12"/>
  <c r="T173" i="12"/>
  <c r="T174" i="12"/>
  <c r="T175" i="12"/>
  <c r="T176" i="12"/>
  <c r="T178" i="12"/>
  <c r="T179" i="12"/>
  <c r="T180" i="12"/>
  <c r="T181" i="12"/>
  <c r="T182" i="12"/>
  <c r="T183" i="12"/>
  <c r="T184" i="12"/>
  <c r="T185" i="12"/>
  <c r="T186" i="12"/>
  <c r="T187" i="12"/>
  <c r="T188" i="12"/>
  <c r="T189" i="12"/>
  <c r="T190" i="12"/>
  <c r="T191" i="12"/>
  <c r="T192" i="12"/>
  <c r="T193" i="12"/>
  <c r="T194" i="12"/>
  <c r="T195" i="12"/>
  <c r="T197" i="12"/>
  <c r="T198" i="12"/>
  <c r="T199" i="12"/>
  <c r="T200" i="12"/>
  <c r="T201" i="12"/>
  <c r="T202" i="12"/>
  <c r="T203" i="12"/>
  <c r="T204" i="12"/>
  <c r="T205" i="12"/>
  <c r="T207" i="12"/>
  <c r="T208" i="12"/>
  <c r="T210" i="12"/>
  <c r="T211" i="12"/>
  <c r="T212" i="12"/>
  <c r="T213" i="12"/>
  <c r="T214" i="12"/>
  <c r="T215" i="12"/>
  <c r="T217" i="12"/>
  <c r="T218" i="12"/>
  <c r="T219" i="12"/>
  <c r="T220" i="12"/>
  <c r="T221" i="12"/>
  <c r="T222" i="12"/>
  <c r="T223" i="12"/>
  <c r="T226" i="12"/>
  <c r="T229" i="12"/>
  <c r="T230" i="12"/>
  <c r="T233" i="12"/>
  <c r="T234" i="12"/>
  <c r="T235" i="12"/>
  <c r="T236" i="12"/>
  <c r="T237" i="12"/>
  <c r="T238" i="12"/>
  <c r="T239" i="12"/>
  <c r="T240" i="12"/>
  <c r="T242" i="12"/>
  <c r="T243" i="12"/>
  <c r="T244" i="12"/>
  <c r="T245" i="12"/>
  <c r="T246" i="12"/>
  <c r="T247" i="12"/>
  <c r="T248" i="12"/>
  <c r="T249" i="12"/>
  <c r="T251" i="12"/>
  <c r="T252" i="12"/>
  <c r="T253" i="12"/>
  <c r="T255" i="12"/>
  <c r="T256" i="12"/>
  <c r="T257" i="12"/>
  <c r="T259" i="12"/>
  <c r="T260" i="12"/>
  <c r="T261" i="12"/>
  <c r="T263" i="12"/>
  <c r="T264" i="12"/>
  <c r="T266" i="12"/>
  <c r="G222" i="12"/>
  <c r="F222" i="12"/>
  <c r="E222" i="12"/>
  <c r="G218" i="12"/>
  <c r="F218" i="12"/>
  <c r="E218" i="12"/>
  <c r="G91" i="12"/>
  <c r="F91" i="12"/>
  <c r="E91" i="12"/>
  <c r="T105" i="12" l="1"/>
  <c r="T104" i="12"/>
  <c r="T103" i="12"/>
  <c r="T102" i="12"/>
  <c r="T101" i="12"/>
  <c r="T100" i="12"/>
  <c r="T40" i="12"/>
  <c r="T38" i="12"/>
  <c r="T36" i="12"/>
  <c r="T33" i="12"/>
  <c r="T32" i="12"/>
  <c r="T30" i="12"/>
  <c r="T29" i="12"/>
  <c r="T28" i="12"/>
  <c r="T26" i="12"/>
  <c r="T25" i="12"/>
  <c r="T23" i="12"/>
  <c r="T22" i="12"/>
  <c r="T21" i="12"/>
  <c r="T20" i="12"/>
  <c r="T18" i="12"/>
  <c r="T17" i="12"/>
  <c r="T15" i="12"/>
  <c r="T14" i="12"/>
  <c r="T13" i="12"/>
  <c r="T12" i="12"/>
  <c r="T11" i="12"/>
  <c r="T9" i="12"/>
  <c r="T8" i="12"/>
  <c r="F15" i="14" l="1"/>
  <c r="E11" i="14" l="1"/>
  <c r="F11" i="14"/>
  <c r="G11" i="14" s="1"/>
  <c r="G239" i="12"/>
  <c r="F239" i="12"/>
  <c r="E239" i="12"/>
  <c r="G217" i="12"/>
  <c r="F217" i="12"/>
  <c r="E217" i="12"/>
  <c r="G223" i="12"/>
  <c r="F223" i="12"/>
  <c r="E223" i="12"/>
  <c r="G221" i="12"/>
  <c r="F221" i="12"/>
  <c r="E221" i="12"/>
  <c r="G220" i="12"/>
  <c r="F220" i="12"/>
  <c r="E220" i="12"/>
  <c r="G219" i="12"/>
  <c r="F219" i="12"/>
  <c r="E219" i="12"/>
  <c r="P216" i="12"/>
  <c r="O216" i="12"/>
  <c r="G213" i="12"/>
  <c r="F213" i="12"/>
  <c r="E213" i="12"/>
  <c r="G215" i="12"/>
  <c r="F215" i="12"/>
  <c r="E215" i="12"/>
  <c r="G214" i="12"/>
  <c r="F214" i="12"/>
  <c r="E214" i="12"/>
  <c r="G212" i="12"/>
  <c r="F212" i="12"/>
  <c r="E212" i="12"/>
  <c r="G211" i="12"/>
  <c r="F211" i="12"/>
  <c r="E211" i="12"/>
  <c r="G210" i="12"/>
  <c r="F210" i="12"/>
  <c r="E210" i="12"/>
  <c r="G208" i="12"/>
  <c r="F208" i="12"/>
  <c r="E208" i="12"/>
  <c r="G207" i="12"/>
  <c r="F207" i="12"/>
  <c r="E207" i="12"/>
  <c r="P206" i="12"/>
  <c r="O206" i="12"/>
  <c r="G204" i="12"/>
  <c r="F204" i="12"/>
  <c r="E204" i="12"/>
  <c r="G203" i="12"/>
  <c r="F203" i="12"/>
  <c r="E203" i="12"/>
  <c r="G197" i="12"/>
  <c r="F197" i="12"/>
  <c r="E197" i="12"/>
  <c r="G179" i="12"/>
  <c r="F179" i="12"/>
  <c r="E179" i="12"/>
  <c r="G172" i="12"/>
  <c r="F172" i="12"/>
  <c r="E172" i="12"/>
  <c r="G176" i="12"/>
  <c r="F176" i="12"/>
  <c r="E176" i="12"/>
  <c r="G175" i="12"/>
  <c r="F175" i="12"/>
  <c r="E175" i="12"/>
  <c r="G174" i="12"/>
  <c r="F174" i="12"/>
  <c r="E174" i="12"/>
  <c r="G173" i="12"/>
  <c r="F173" i="12"/>
  <c r="E173" i="12"/>
  <c r="G171" i="12"/>
  <c r="F171" i="12"/>
  <c r="E171" i="12"/>
  <c r="G170" i="12"/>
  <c r="F170" i="12"/>
  <c r="E170" i="12"/>
  <c r="G145" i="12"/>
  <c r="F145" i="12"/>
  <c r="E145" i="12"/>
  <c r="G128" i="12"/>
  <c r="F128" i="12"/>
  <c r="E128" i="12"/>
  <c r="G104" i="12"/>
  <c r="F104" i="12"/>
  <c r="E104" i="12"/>
  <c r="G105" i="12"/>
  <c r="F105" i="12"/>
  <c r="E105" i="12"/>
  <c r="G103" i="12"/>
  <c r="F103" i="12"/>
  <c r="E103" i="12"/>
  <c r="G102" i="12"/>
  <c r="F102" i="12"/>
  <c r="E102" i="12"/>
  <c r="G101" i="12"/>
  <c r="F101" i="12"/>
  <c r="E101" i="12"/>
  <c r="G100" i="12"/>
  <c r="F100" i="12"/>
  <c r="E100" i="12"/>
  <c r="G36" i="12"/>
  <c r="F36" i="12"/>
  <c r="E36" i="12"/>
  <c r="I8" i="15"/>
  <c r="I10" i="15"/>
  <c r="G22" i="12"/>
  <c r="F22" i="12"/>
  <c r="E22" i="12"/>
  <c r="G23" i="12"/>
  <c r="F23" i="12"/>
  <c r="E23" i="12"/>
  <c r="G21" i="12"/>
  <c r="F21" i="12"/>
  <c r="E21" i="12"/>
  <c r="G20" i="12"/>
  <c r="F20" i="12"/>
  <c r="E20" i="12"/>
  <c r="G62" i="12"/>
  <c r="F62" i="12"/>
  <c r="E62" i="12"/>
  <c r="AE228" i="21" l="1"/>
  <c r="AE227" i="21"/>
  <c r="AE221" i="21"/>
  <c r="AE220" i="21"/>
  <c r="AE218" i="21" s="1"/>
  <c r="AE219" i="21"/>
  <c r="AE217" i="21"/>
  <c r="AE216" i="21"/>
  <c r="AE215" i="21"/>
  <c r="AE213" i="21"/>
  <c r="AE212" i="21"/>
  <c r="AE211" i="21"/>
  <c r="AE210" i="21"/>
  <c r="AE209" i="21"/>
  <c r="AE208" i="21"/>
  <c r="AE207" i="21"/>
  <c r="AE206" i="21"/>
  <c r="AE204" i="21"/>
  <c r="AE203" i="21"/>
  <c r="AE202" i="21"/>
  <c r="AE201" i="21"/>
  <c r="AE200" i="21"/>
  <c r="AE199" i="21"/>
  <c r="AE198" i="21"/>
  <c r="AE195" i="21"/>
  <c r="AE194" i="21"/>
  <c r="AE188" i="21"/>
  <c r="AE187" i="21"/>
  <c r="AE186" i="21"/>
  <c r="AE185" i="21"/>
  <c r="AE184" i="21"/>
  <c r="AE183" i="21"/>
  <c r="AE182" i="21"/>
  <c r="AE181" i="21" s="1"/>
  <c r="AE180" i="21"/>
  <c r="AE179" i="21"/>
  <c r="AE178" i="21"/>
  <c r="AE177" i="21"/>
  <c r="AE176" i="21"/>
  <c r="AE175" i="21"/>
  <c r="AE174" i="21"/>
  <c r="AE173" i="21"/>
  <c r="AE172" i="21"/>
  <c r="AE171" i="21"/>
  <c r="AE170" i="21"/>
  <c r="AE169" i="21"/>
  <c r="AE168" i="21"/>
  <c r="AE167" i="21"/>
  <c r="AE166" i="21"/>
  <c r="AE165" i="21"/>
  <c r="AE164" i="21"/>
  <c r="AE162" i="21"/>
  <c r="AE161" i="21"/>
  <c r="AE160" i="21"/>
  <c r="AE159" i="21"/>
  <c r="AE158" i="21"/>
  <c r="AE157" i="21"/>
  <c r="AE156" i="21"/>
  <c r="AE155" i="21"/>
  <c r="AE154" i="21"/>
  <c r="AE153" i="21"/>
  <c r="AE152" i="21"/>
  <c r="AE151" i="21"/>
  <c r="AE149" i="21"/>
  <c r="AE148" i="21"/>
  <c r="AE147" i="21"/>
  <c r="AE146" i="21"/>
  <c r="AE145" i="21"/>
  <c r="AE144" i="21"/>
  <c r="AE143" i="21"/>
  <c r="AE142" i="21"/>
  <c r="AE141" i="21"/>
  <c r="AE140" i="21"/>
  <c r="AE139" i="21"/>
  <c r="AE64" i="21"/>
  <c r="AE134" i="21"/>
  <c r="AE133" i="21"/>
  <c r="AE132" i="21"/>
  <c r="AE131" i="21"/>
  <c r="AE130" i="21"/>
  <c r="AE129" i="21"/>
  <c r="AE128" i="21"/>
  <c r="AE126" i="21"/>
  <c r="AE125" i="21"/>
  <c r="AE124" i="21"/>
  <c r="AE123" i="21"/>
  <c r="AE122" i="21"/>
  <c r="AE93" i="21"/>
  <c r="AE120" i="21"/>
  <c r="AE119" i="21"/>
  <c r="AE118" i="21"/>
  <c r="AE117" i="21"/>
  <c r="AE116" i="21"/>
  <c r="AE115" i="21"/>
  <c r="AE114" i="21"/>
  <c r="AE113" i="21"/>
  <c r="AE112" i="21"/>
  <c r="AE111" i="21"/>
  <c r="AE110" i="21"/>
  <c r="AE109" i="21"/>
  <c r="AE108" i="21"/>
  <c r="AE107" i="21"/>
  <c r="AE106" i="21"/>
  <c r="AE105" i="21"/>
  <c r="AE104" i="21"/>
  <c r="AE103" i="21"/>
  <c r="AE102" i="21"/>
  <c r="AE101" i="21"/>
  <c r="AE100" i="21"/>
  <c r="AE99" i="21"/>
  <c r="AE98" i="21"/>
  <c r="AE97" i="21"/>
  <c r="AE96" i="21"/>
  <c r="AE95" i="21"/>
  <c r="AE94" i="21"/>
  <c r="AE84" i="21"/>
  <c r="AE91" i="21"/>
  <c r="AE90" i="21"/>
  <c r="AE89" i="21"/>
  <c r="AE88" i="21"/>
  <c r="AE87" i="21"/>
  <c r="AE86" i="21"/>
  <c r="AE85" i="21"/>
  <c r="AE83" i="21"/>
  <c r="AE82" i="21"/>
  <c r="AE81" i="21"/>
  <c r="AE80" i="21"/>
  <c r="AE79" i="21"/>
  <c r="AE78" i="21"/>
  <c r="AE77" i="21"/>
  <c r="AE76" i="21"/>
  <c r="AE75" i="21"/>
  <c r="AE74" i="21"/>
  <c r="AE73" i="21"/>
  <c r="AE72" i="21"/>
  <c r="AE71" i="21"/>
  <c r="AE70" i="21"/>
  <c r="AE69" i="21"/>
  <c r="AE68" i="21"/>
  <c r="AE67" i="21"/>
  <c r="AE66" i="21"/>
  <c r="AE62" i="21"/>
  <c r="AE61" i="21"/>
  <c r="AE60" i="21"/>
  <c r="AE59" i="21"/>
  <c r="AE58" i="21"/>
  <c r="AE57" i="21"/>
  <c r="AE56" i="21"/>
  <c r="AE55" i="21"/>
  <c r="AE54" i="21"/>
  <c r="AE53" i="21"/>
  <c r="AE52" i="21"/>
  <c r="AE51" i="21"/>
  <c r="AE50" i="21"/>
  <c r="AE49" i="21"/>
  <c r="AE48" i="21"/>
  <c r="AE47" i="21"/>
  <c r="AE46" i="21"/>
  <c r="AE45" i="21"/>
  <c r="AE44" i="21"/>
  <c r="AE43" i="21"/>
  <c r="AE42" i="21"/>
  <c r="AE41" i="21"/>
  <c r="AE40" i="21"/>
  <c r="AE39" i="21"/>
  <c r="AE229" i="21"/>
  <c r="AE222" i="21"/>
  <c r="AE189" i="21"/>
  <c r="AE135" i="21"/>
  <c r="AE163" i="21" l="1"/>
  <c r="AE193" i="21"/>
  <c r="AE192" i="21" s="1"/>
  <c r="AE138" i="21"/>
  <c r="AE63" i="21"/>
  <c r="AE214" i="21"/>
  <c r="AE197" i="21"/>
  <c r="AE226" i="21"/>
  <c r="AE150" i="21"/>
  <c r="AE205" i="21"/>
  <c r="AE127" i="21"/>
  <c r="AE121" i="21"/>
  <c r="AE92" i="21"/>
  <c r="AE65" i="21"/>
  <c r="AE37" i="21"/>
  <c r="AE137" i="21" l="1"/>
  <c r="AE196" i="21"/>
  <c r="AE36" i="21"/>
  <c r="AE35" i="21" l="1"/>
  <c r="E9" i="22"/>
  <c r="D9" i="22"/>
  <c r="E8" i="22"/>
  <c r="E6" i="22"/>
  <c r="AG226" i="21"/>
  <c r="AG37" i="21"/>
  <c r="AF67" i="21"/>
  <c r="AC204" i="21" l="1"/>
  <c r="AC203" i="21"/>
  <c r="AC202" i="21"/>
  <c r="AC201" i="21"/>
  <c r="AC200" i="21"/>
  <c r="AC199" i="21"/>
  <c r="AC198" i="21"/>
  <c r="AC195" i="21"/>
  <c r="AC194" i="21"/>
  <c r="AC191" i="21"/>
  <c r="AC149" i="21"/>
  <c r="AC148" i="21"/>
  <c r="AC147" i="21"/>
  <c r="AC146" i="21"/>
  <c r="AC145" i="21"/>
  <c r="AC144" i="21"/>
  <c r="AC143" i="21"/>
  <c r="AC142" i="21"/>
  <c r="AC141" i="21"/>
  <c r="AC140" i="21"/>
  <c r="AC139" i="21"/>
  <c r="AC62" i="21"/>
  <c r="AC61" i="21"/>
  <c r="AC60" i="21"/>
  <c r="AC59" i="21"/>
  <c r="AC58" i="21"/>
  <c r="AC57" i="21"/>
  <c r="AC56" i="21"/>
  <c r="AC55" i="21"/>
  <c r="AC54" i="21"/>
  <c r="AC53" i="21"/>
  <c r="AC52" i="21"/>
  <c r="AC51" i="21"/>
  <c r="AC50" i="21"/>
  <c r="AC49" i="21"/>
  <c r="AC48" i="21"/>
  <c r="AC47" i="21"/>
  <c r="AC46" i="21"/>
  <c r="AC45" i="21"/>
  <c r="AC44" i="21"/>
  <c r="AC43" i="21"/>
  <c r="AC42" i="21"/>
  <c r="AC41" i="21"/>
  <c r="AC40" i="21"/>
  <c r="AC39" i="21"/>
  <c r="AB230" i="21"/>
  <c r="AB229" i="21"/>
  <c r="AB228" i="21"/>
  <c r="AB227" i="21"/>
  <c r="AB226" i="21"/>
  <c r="AB225" i="21"/>
  <c r="AB224" i="21"/>
  <c r="AB223" i="21"/>
  <c r="AB222" i="21"/>
  <c r="AB221" i="21"/>
  <c r="AB220" i="21"/>
  <c r="AB219" i="21"/>
  <c r="AB218" i="21"/>
  <c r="AB217" i="21"/>
  <c r="AB216" i="21"/>
  <c r="AB215" i="21"/>
  <c r="AB214" i="21"/>
  <c r="AB213" i="21"/>
  <c r="AB212" i="21"/>
  <c r="AB211" i="21"/>
  <c r="AB210" i="21"/>
  <c r="AB209" i="21"/>
  <c r="AB208" i="21"/>
  <c r="AB207" i="21"/>
  <c r="AB206" i="21"/>
  <c r="AB205" i="21"/>
  <c r="AB204" i="21"/>
  <c r="AB203" i="21"/>
  <c r="AB202" i="21"/>
  <c r="AB201" i="21"/>
  <c r="AB200" i="21"/>
  <c r="AB199" i="21"/>
  <c r="AB198" i="21"/>
  <c r="AB197" i="21"/>
  <c r="AB196" i="21"/>
  <c r="AB195" i="21"/>
  <c r="AB194" i="21"/>
  <c r="AB193" i="21"/>
  <c r="AB192" i="21"/>
  <c r="AB191" i="21"/>
  <c r="AB190" i="21"/>
  <c r="AB189" i="21"/>
  <c r="AB188" i="21"/>
  <c r="AB187" i="21"/>
  <c r="AB186" i="21"/>
  <c r="AB185" i="21"/>
  <c r="AB184" i="21"/>
  <c r="AB183" i="21"/>
  <c r="AB182" i="21"/>
  <c r="AB181" i="21"/>
  <c r="AB180" i="21"/>
  <c r="AB179" i="21"/>
  <c r="AB178" i="21"/>
  <c r="AB177" i="21"/>
  <c r="AB176" i="21"/>
  <c r="AB175" i="21"/>
  <c r="AB174" i="21"/>
  <c r="AB173" i="21"/>
  <c r="AB172" i="21"/>
  <c r="AB171" i="21"/>
  <c r="AB170" i="21"/>
  <c r="AB169" i="21"/>
  <c r="AB168" i="21"/>
  <c r="AB167" i="21"/>
  <c r="AB166" i="21"/>
  <c r="AB165" i="21"/>
  <c r="AB164" i="21"/>
  <c r="AB163" i="21"/>
  <c r="AB162" i="21"/>
  <c r="AB161" i="21"/>
  <c r="AB160" i="21"/>
  <c r="AB159" i="21"/>
  <c r="AB158" i="21"/>
  <c r="AB157" i="21"/>
  <c r="AB156" i="21"/>
  <c r="AB155" i="21"/>
  <c r="AB154" i="21"/>
  <c r="AB153" i="21"/>
  <c r="AB152" i="21"/>
  <c r="AB151" i="21"/>
  <c r="AB150" i="21"/>
  <c r="AB149" i="21"/>
  <c r="AB148" i="21"/>
  <c r="AB147" i="21"/>
  <c r="AB146" i="21"/>
  <c r="AB145" i="21"/>
  <c r="AB144" i="21"/>
  <c r="AB143" i="21"/>
  <c r="AB142" i="21"/>
  <c r="AB141" i="21"/>
  <c r="AB140" i="21"/>
  <c r="AB139" i="21"/>
  <c r="AB138" i="21"/>
  <c r="AB137" i="21"/>
  <c r="AB136" i="21"/>
  <c r="AB135" i="21"/>
  <c r="AB134" i="21"/>
  <c r="AB133" i="21"/>
  <c r="AB132" i="21"/>
  <c r="AB131" i="21"/>
  <c r="AB130" i="21"/>
  <c r="AB129" i="21"/>
  <c r="AB128" i="21"/>
  <c r="AB127" i="21"/>
  <c r="AB126" i="21"/>
  <c r="AB125" i="21"/>
  <c r="AB124" i="21"/>
  <c r="AB123" i="21"/>
  <c r="AB122" i="21"/>
  <c r="AB121" i="21"/>
  <c r="AB120" i="21"/>
  <c r="AB119" i="21"/>
  <c r="AB118" i="21"/>
  <c r="AB117" i="21"/>
  <c r="AB116" i="21"/>
  <c r="AB115" i="21"/>
  <c r="AB114" i="21"/>
  <c r="AB113" i="21"/>
  <c r="AB112" i="21"/>
  <c r="AB111" i="21"/>
  <c r="AB110" i="21"/>
  <c r="AB109" i="21"/>
  <c r="AB108" i="21"/>
  <c r="AB107" i="21"/>
  <c r="AB106" i="21"/>
  <c r="AB105" i="21"/>
  <c r="AB104" i="21"/>
  <c r="AB103" i="21"/>
  <c r="AB102" i="21"/>
  <c r="AB101" i="21"/>
  <c r="AB100" i="21"/>
  <c r="AB99" i="21"/>
  <c r="AB98" i="21"/>
  <c r="AB97" i="21"/>
  <c r="AB96" i="21"/>
  <c r="AB95" i="21"/>
  <c r="AB94" i="21"/>
  <c r="AB93" i="21"/>
  <c r="AB92" i="21"/>
  <c r="AB91" i="21"/>
  <c r="AB90" i="21"/>
  <c r="AB89" i="21"/>
  <c r="AB88" i="21"/>
  <c r="AB87" i="21"/>
  <c r="AB86" i="21"/>
  <c r="AB85" i="21"/>
  <c r="AB84" i="21"/>
  <c r="AB83" i="21"/>
  <c r="AB82" i="21"/>
  <c r="AB81" i="21"/>
  <c r="AB80" i="21"/>
  <c r="AB79" i="21"/>
  <c r="AB78" i="21"/>
  <c r="AB77" i="21"/>
  <c r="AB76" i="21"/>
  <c r="AB75" i="21"/>
  <c r="AB74" i="21"/>
  <c r="AB73" i="21"/>
  <c r="AB72" i="21"/>
  <c r="AB71" i="21"/>
  <c r="AB70" i="21"/>
  <c r="AB69" i="21"/>
  <c r="AB68" i="21"/>
  <c r="AB67" i="21"/>
  <c r="AB66" i="21"/>
  <c r="AB65" i="21"/>
  <c r="AB64" i="21"/>
  <c r="AB63" i="21"/>
  <c r="AB62" i="21"/>
  <c r="AB61" i="21"/>
  <c r="AB60" i="21"/>
  <c r="AB59" i="21"/>
  <c r="AB58" i="21"/>
  <c r="AB57" i="21"/>
  <c r="AB56" i="21"/>
  <c r="AB55" i="21"/>
  <c r="AB54" i="21"/>
  <c r="AB53" i="21"/>
  <c r="AB52" i="21"/>
  <c r="AB51" i="21"/>
  <c r="AB50" i="21"/>
  <c r="AB49" i="21"/>
  <c r="AB48" i="21"/>
  <c r="AB47" i="21"/>
  <c r="AB46" i="21"/>
  <c r="AB45" i="21"/>
  <c r="AB44" i="21"/>
  <c r="AB43" i="21"/>
  <c r="AB42" i="21"/>
  <c r="AB41" i="21"/>
  <c r="AB40" i="21"/>
  <c r="AB39" i="21"/>
  <c r="AF211" i="21" l="1"/>
  <c r="AF206" i="21"/>
  <c r="AF203" i="21"/>
  <c r="AF200" i="21"/>
  <c r="AF195" i="21"/>
  <c r="AF194" i="21"/>
  <c r="AF190" i="21"/>
  <c r="AF140" i="21"/>
  <c r="AF81" i="21"/>
  <c r="AF78" i="21"/>
  <c r="AF72" i="21"/>
  <c r="AF71" i="21"/>
  <c r="AF62" i="21"/>
  <c r="AF61" i="21"/>
  <c r="AF60" i="21"/>
  <c r="AF59" i="21"/>
  <c r="AF58" i="21"/>
  <c r="AF57" i="21"/>
  <c r="AF56" i="21"/>
  <c r="AF55" i="21"/>
  <c r="AF54" i="21"/>
  <c r="AF53" i="21"/>
  <c r="AF52" i="21"/>
  <c r="AF51" i="21"/>
  <c r="AF50" i="21"/>
  <c r="AF49" i="21"/>
  <c r="AF48" i="21"/>
  <c r="AF47" i="21"/>
  <c r="AF46" i="21"/>
  <c r="AF45" i="21"/>
  <c r="AF42" i="21"/>
  <c r="AD230" i="21"/>
  <c r="AD229" i="21" s="1"/>
  <c r="AD191" i="21"/>
  <c r="AF191" i="21" s="1"/>
  <c r="AD136" i="21"/>
  <c r="AF136" i="21" s="1"/>
  <c r="AD193" i="21"/>
  <c r="AD192" i="21" s="1"/>
  <c r="AD189" i="21"/>
  <c r="AD34" i="21"/>
  <c r="AD33" i="21" s="1"/>
  <c r="AD32" i="21"/>
  <c r="AD31" i="21" s="1"/>
  <c r="AD30" i="21"/>
  <c r="AD29" i="21" s="1"/>
  <c r="AD28" i="21"/>
  <c r="AD27" i="21"/>
  <c r="AD25" i="21"/>
  <c r="AD24" i="21"/>
  <c r="AD23" i="21"/>
  <c r="AD21" i="21"/>
  <c r="AD20" i="21"/>
  <c r="AD19" i="21" s="1"/>
  <c r="AD18" i="21"/>
  <c r="AD17" i="21"/>
  <c r="AD15" i="21"/>
  <c r="AD14" i="21"/>
  <c r="AD13" i="21"/>
  <c r="AD12" i="21"/>
  <c r="AD11" i="21"/>
  <c r="AD9" i="21"/>
  <c r="AD8" i="21"/>
  <c r="S211" i="21"/>
  <c r="S206" i="21"/>
  <c r="S153" i="21"/>
  <c r="S81" i="21"/>
  <c r="S78" i="21"/>
  <c r="S72" i="21"/>
  <c r="S71" i="21"/>
  <c r="S67" i="21"/>
  <c r="S229" i="21"/>
  <c r="S222" i="21"/>
  <c r="S221" i="21"/>
  <c r="S212" i="21"/>
  <c r="S193" i="21"/>
  <c r="S192" i="21" s="1"/>
  <c r="S189" i="21"/>
  <c r="S154" i="21"/>
  <c r="S152" i="21"/>
  <c r="S141" i="21"/>
  <c r="S135" i="21"/>
  <c r="S128" i="21"/>
  <c r="S121" i="21"/>
  <c r="S70" i="21"/>
  <c r="S69" i="21"/>
  <c r="S68" i="21"/>
  <c r="S63" i="21"/>
  <c r="S44" i="21"/>
  <c r="S43" i="21"/>
  <c r="S33" i="21"/>
  <c r="S31" i="21"/>
  <c r="S29" i="21"/>
  <c r="S26" i="21"/>
  <c r="S22" i="21"/>
  <c r="S19" i="21"/>
  <c r="S16" i="21"/>
  <c r="S10" i="21"/>
  <c r="S7" i="21"/>
  <c r="AD7" i="21" l="1"/>
  <c r="S127" i="21"/>
  <c r="S205" i="21"/>
  <c r="AD22" i="21"/>
  <c r="AD26" i="21"/>
  <c r="AD16" i="21"/>
  <c r="S218" i="21"/>
  <c r="S65" i="21"/>
  <c r="AD135" i="21"/>
  <c r="AD10" i="21"/>
  <c r="AF230" i="21"/>
  <c r="S150" i="21"/>
  <c r="S6" i="21"/>
  <c r="AD6" i="21" l="1"/>
  <c r="Z229" i="21"/>
  <c r="Z189" i="21"/>
  <c r="Z135" i="21"/>
  <c r="Y67" i="21"/>
  <c r="Z67" i="21" s="1"/>
  <c r="Y71" i="21"/>
  <c r="Z71" i="21" s="1"/>
  <c r="Y66" i="21"/>
  <c r="Z66" i="21" s="1"/>
  <c r="Y68" i="21"/>
  <c r="Y69" i="21"/>
  <c r="Y70" i="21"/>
  <c r="Y72" i="21"/>
  <c r="Z72" i="21" s="1"/>
  <c r="Y73" i="21"/>
  <c r="Z73" i="21" s="1"/>
  <c r="Y74" i="21"/>
  <c r="Z74" i="21" s="1"/>
  <c r="Y75" i="21"/>
  <c r="Z75" i="21" s="1"/>
  <c r="Y76" i="21"/>
  <c r="Z76" i="21" s="1"/>
  <c r="Y77" i="21"/>
  <c r="Z77" i="21" s="1"/>
  <c r="Y78" i="21"/>
  <c r="Z78" i="21" s="1"/>
  <c r="Y79" i="21"/>
  <c r="Z79" i="21" s="1"/>
  <c r="Y80" i="21"/>
  <c r="Z80" i="21" s="1"/>
  <c r="Y81" i="21"/>
  <c r="Z81" i="21" s="1"/>
  <c r="Y82" i="21"/>
  <c r="Z82" i="21" s="1"/>
  <c r="Y83" i="21"/>
  <c r="Z83" i="21" s="1"/>
  <c r="Y84" i="21"/>
  <c r="Z84" i="21" s="1"/>
  <c r="Y85" i="21"/>
  <c r="Z85" i="21" s="1"/>
  <c r="Y86" i="21"/>
  <c r="Z86" i="21" s="1"/>
  <c r="Y87" i="21"/>
  <c r="Z87" i="21" s="1"/>
  <c r="Y88" i="21"/>
  <c r="Z88" i="21" s="1"/>
  <c r="Y89" i="21"/>
  <c r="Z89" i="21" s="1"/>
  <c r="Y90" i="21"/>
  <c r="Z90" i="21" s="1"/>
  <c r="Y91" i="21"/>
  <c r="Z91" i="21" s="1"/>
  <c r="Y228" i="21"/>
  <c r="Y227" i="21"/>
  <c r="Y225" i="21"/>
  <c r="Z225" i="21" s="1"/>
  <c r="Y224" i="21"/>
  <c r="Z224" i="21" s="1"/>
  <c r="Y223" i="21"/>
  <c r="Z223" i="21" s="1"/>
  <c r="Y220" i="21"/>
  <c r="Z220" i="21" s="1"/>
  <c r="Y219" i="21"/>
  <c r="Z219" i="21" s="1"/>
  <c r="Y217" i="21"/>
  <c r="Y216" i="21"/>
  <c r="S216" i="21" s="1"/>
  <c r="Y215" i="21"/>
  <c r="S215" i="21" s="1"/>
  <c r="Y213" i="21"/>
  <c r="Z213" i="21" s="1"/>
  <c r="Y212" i="21"/>
  <c r="Y211" i="21"/>
  <c r="Z211" i="21" s="1"/>
  <c r="Y210" i="21"/>
  <c r="Z210" i="21" s="1"/>
  <c r="Y209" i="21"/>
  <c r="Z209" i="21" s="1"/>
  <c r="Y208" i="21"/>
  <c r="Z208" i="21" s="1"/>
  <c r="Y207" i="21"/>
  <c r="Z207" i="21" s="1"/>
  <c r="Y206" i="21"/>
  <c r="Z206" i="21" s="1"/>
  <c r="Y204" i="21"/>
  <c r="Z204" i="21" s="1"/>
  <c r="Y203" i="21"/>
  <c r="Z203" i="21" s="1"/>
  <c r="S203" i="21" s="1"/>
  <c r="Y202" i="21"/>
  <c r="Z202" i="21" s="1"/>
  <c r="Y201" i="21"/>
  <c r="Z201" i="21" s="1"/>
  <c r="Y200" i="21"/>
  <c r="Z200" i="21" s="1"/>
  <c r="S200" i="21" s="1"/>
  <c r="Y199" i="21"/>
  <c r="Z199" i="21" s="1"/>
  <c r="Y198" i="21"/>
  <c r="Z198" i="21" s="1"/>
  <c r="Y195" i="21"/>
  <c r="Z195" i="21" s="1"/>
  <c r="Y194" i="21"/>
  <c r="Z194" i="21" s="1"/>
  <c r="Y188" i="21"/>
  <c r="Y187" i="21"/>
  <c r="Y186" i="21"/>
  <c r="Y185" i="21"/>
  <c r="Y184" i="21"/>
  <c r="Y183" i="21"/>
  <c r="Y182" i="21"/>
  <c r="Y180" i="21"/>
  <c r="Y179" i="21"/>
  <c r="Y178" i="21"/>
  <c r="Y177" i="21"/>
  <c r="Y176" i="21"/>
  <c r="Y175" i="21"/>
  <c r="Y174" i="21"/>
  <c r="Y173" i="21"/>
  <c r="Y172" i="21"/>
  <c r="Y171" i="21"/>
  <c r="Y170" i="21"/>
  <c r="Y169" i="21"/>
  <c r="Y168" i="21"/>
  <c r="Y167" i="21"/>
  <c r="Y166" i="21"/>
  <c r="Y165" i="21"/>
  <c r="Y164" i="21"/>
  <c r="Y162" i="21"/>
  <c r="Z162" i="21" s="1"/>
  <c r="Y161" i="21"/>
  <c r="Z161" i="21" s="1"/>
  <c r="Y160" i="21"/>
  <c r="Z160" i="21" s="1"/>
  <c r="Y159" i="21"/>
  <c r="Z159" i="21" s="1"/>
  <c r="Y158" i="21"/>
  <c r="Z158" i="21" s="1"/>
  <c r="Y157" i="21"/>
  <c r="Z157" i="21" s="1"/>
  <c r="Y156" i="21"/>
  <c r="Z156" i="21" s="1"/>
  <c r="Y155" i="21"/>
  <c r="Z155" i="21" s="1"/>
  <c r="Y154" i="21"/>
  <c r="Y153" i="21"/>
  <c r="Z153" i="21" s="1"/>
  <c r="Y152" i="21"/>
  <c r="Y151" i="21"/>
  <c r="Z151" i="21" s="1"/>
  <c r="Y149" i="21"/>
  <c r="Z149" i="21" s="1"/>
  <c r="Y148" i="21"/>
  <c r="Z148" i="21" s="1"/>
  <c r="Y147" i="21"/>
  <c r="Z147" i="21" s="1"/>
  <c r="Y146" i="21"/>
  <c r="Z146" i="21" s="1"/>
  <c r="Y145" i="21"/>
  <c r="Z145" i="21" s="1"/>
  <c r="Y144" i="21"/>
  <c r="Z144" i="21" s="1"/>
  <c r="Y143" i="21"/>
  <c r="Z143" i="21" s="1"/>
  <c r="Y142" i="21"/>
  <c r="Z142" i="21" s="1"/>
  <c r="Y141" i="21"/>
  <c r="Y140" i="21"/>
  <c r="Z140" i="21" s="1"/>
  <c r="S140" i="21" s="1"/>
  <c r="Y139" i="21"/>
  <c r="Z139" i="21" s="1"/>
  <c r="Y134" i="21"/>
  <c r="Z134" i="21" s="1"/>
  <c r="Y133" i="21"/>
  <c r="Z133" i="21" s="1"/>
  <c r="Y132" i="21"/>
  <c r="Z132" i="21" s="1"/>
  <c r="Y131" i="21"/>
  <c r="Z131" i="21" s="1"/>
  <c r="Y130" i="21"/>
  <c r="Z130" i="21" s="1"/>
  <c r="Y129" i="21"/>
  <c r="Z129" i="21" s="1"/>
  <c r="Y128" i="21"/>
  <c r="Y126" i="21"/>
  <c r="Z126" i="21" s="1"/>
  <c r="Y125" i="21"/>
  <c r="Z125" i="21" s="1"/>
  <c r="Y124" i="21"/>
  <c r="Z124" i="21" s="1"/>
  <c r="Y123" i="21"/>
  <c r="Y122" i="21"/>
  <c r="Z122" i="21" s="1"/>
  <c r="Y120" i="21"/>
  <c r="Y119" i="21"/>
  <c r="Y118" i="21"/>
  <c r="Y117" i="21"/>
  <c r="Y116" i="21"/>
  <c r="Y115" i="21"/>
  <c r="Y114" i="21"/>
  <c r="Y113" i="21"/>
  <c r="Y112" i="21"/>
  <c r="Y111" i="21"/>
  <c r="Y110" i="21"/>
  <c r="Y109" i="21"/>
  <c r="Y108" i="21"/>
  <c r="Y107" i="21"/>
  <c r="Y106" i="21"/>
  <c r="Y105" i="21"/>
  <c r="Y104" i="21"/>
  <c r="Y103" i="21"/>
  <c r="Y102" i="21"/>
  <c r="Y101" i="21"/>
  <c r="Y100" i="21"/>
  <c r="Y99" i="21"/>
  <c r="Y98" i="21"/>
  <c r="Y97" i="21"/>
  <c r="Y96" i="21"/>
  <c r="Y95" i="21"/>
  <c r="Y94" i="21"/>
  <c r="Y93" i="21"/>
  <c r="Y64" i="21"/>
  <c r="Y63" i="21" s="1"/>
  <c r="Y62" i="21"/>
  <c r="Z62" i="21" s="1"/>
  <c r="Y61" i="21"/>
  <c r="Z61" i="21" s="1"/>
  <c r="Y60" i="21"/>
  <c r="Z60" i="21" s="1"/>
  <c r="Y59" i="21"/>
  <c r="Z59" i="21" s="1"/>
  <c r="Y58" i="21"/>
  <c r="Z58" i="21" s="1"/>
  <c r="Y57" i="21"/>
  <c r="Z57" i="21" s="1"/>
  <c r="Y56" i="21"/>
  <c r="Z56" i="21" s="1"/>
  <c r="Y55" i="21"/>
  <c r="Z55" i="21" s="1"/>
  <c r="S55" i="21" s="1"/>
  <c r="Y54" i="21"/>
  <c r="Z54" i="21" s="1"/>
  <c r="Y53" i="21"/>
  <c r="Z53" i="21" s="1"/>
  <c r="Y52" i="21"/>
  <c r="Z52" i="21" s="1"/>
  <c r="S52" i="21" s="1"/>
  <c r="Y51" i="21"/>
  <c r="Z51" i="21" s="1"/>
  <c r="Y50" i="21"/>
  <c r="Z50" i="21" s="1"/>
  <c r="Y49" i="21"/>
  <c r="Z49" i="21" s="1"/>
  <c r="Y48" i="21"/>
  <c r="Z48" i="21" s="1"/>
  <c r="Y47" i="21"/>
  <c r="Z47" i="21" s="1"/>
  <c r="S47" i="21" s="1"/>
  <c r="Y46" i="21"/>
  <c r="Z46" i="21" s="1"/>
  <c r="S46" i="21" s="1"/>
  <c r="Y45" i="21"/>
  <c r="Z45" i="21" s="1"/>
  <c r="Y44" i="21"/>
  <c r="Y43" i="21"/>
  <c r="Y42" i="21"/>
  <c r="Z42" i="21" s="1"/>
  <c r="S42" i="21" s="1"/>
  <c r="Y41" i="21"/>
  <c r="Z41" i="21" s="1"/>
  <c r="S41" i="21" s="1"/>
  <c r="Y40" i="21"/>
  <c r="Z40" i="21" s="1"/>
  <c r="S40" i="21" s="1"/>
  <c r="Y39" i="21"/>
  <c r="Z39" i="21" s="1"/>
  <c r="S39" i="21" s="1"/>
  <c r="Y229" i="21"/>
  <c r="Y189" i="21"/>
  <c r="Y135" i="21"/>
  <c r="Y34" i="21"/>
  <c r="Y33" i="21" s="1"/>
  <c r="Y32" i="21"/>
  <c r="Y31" i="21" s="1"/>
  <c r="Y30" i="21"/>
  <c r="Y29" i="21" s="1"/>
  <c r="Y28" i="21"/>
  <c r="Z28" i="21" s="1"/>
  <c r="Y27" i="21"/>
  <c r="Z27" i="21" s="1"/>
  <c r="Y25" i="21"/>
  <c r="Z25" i="21" s="1"/>
  <c r="Y24" i="21"/>
  <c r="Z24" i="21" s="1"/>
  <c r="Y23" i="21"/>
  <c r="Z23" i="21" s="1"/>
  <c r="Y21" i="21"/>
  <c r="Z21" i="21" s="1"/>
  <c r="Y20" i="21"/>
  <c r="Z20" i="21" s="1"/>
  <c r="Y18" i="21"/>
  <c r="Z18" i="21" s="1"/>
  <c r="Y17" i="21"/>
  <c r="Z17" i="21" s="1"/>
  <c r="Y15" i="21"/>
  <c r="Z15" i="21" s="1"/>
  <c r="Y14" i="21"/>
  <c r="Z14" i="21" s="1"/>
  <c r="Y13" i="21"/>
  <c r="Z13" i="21" s="1"/>
  <c r="Y12" i="21"/>
  <c r="Z12" i="21" s="1"/>
  <c r="Y11" i="21"/>
  <c r="Z11" i="21" s="1"/>
  <c r="Y9" i="21"/>
  <c r="Z9" i="21" s="1"/>
  <c r="Y8" i="21"/>
  <c r="F13" i="20"/>
  <c r="F14" i="20" s="1"/>
  <c r="F15" i="20" s="1"/>
  <c r="F16" i="20" s="1"/>
  <c r="F7" i="20"/>
  <c r="F8" i="20" s="1"/>
  <c r="F9" i="20" s="1"/>
  <c r="F10" i="20" s="1"/>
  <c r="Y226" i="21" l="1"/>
  <c r="S138" i="21"/>
  <c r="S37" i="21"/>
  <c r="S197" i="21"/>
  <c r="Y7" i="21"/>
  <c r="Y222" i="21"/>
  <c r="Z26" i="21"/>
  <c r="Y193" i="21"/>
  <c r="Y192" i="21" s="1"/>
  <c r="Z16" i="21"/>
  <c r="Z8" i="21"/>
  <c r="Z222" i="21"/>
  <c r="Z197" i="21"/>
  <c r="Z193" i="21"/>
  <c r="Z192" i="21" s="1"/>
  <c r="Z10" i="21"/>
  <c r="Z19" i="21"/>
  <c r="Z22" i="21"/>
  <c r="Y121" i="21"/>
  <c r="Z30" i="21"/>
  <c r="Z29" i="21" s="1"/>
  <c r="Y214" i="21"/>
  <c r="Z32" i="21"/>
  <c r="Z31" i="21" s="1"/>
  <c r="Y22" i="21"/>
  <c r="Z34" i="21"/>
  <c r="Z33" i="21" s="1"/>
  <c r="Z64" i="21"/>
  <c r="Z63" i="21" s="1"/>
  <c r="Z123" i="21"/>
  <c r="Z121" i="21" s="1"/>
  <c r="Y218" i="21"/>
  <c r="Z7" i="21"/>
  <c r="Y37" i="21"/>
  <c r="Y19" i="21"/>
  <c r="Y197" i="21"/>
  <c r="Y65" i="21"/>
  <c r="Y16" i="21"/>
  <c r="Y26" i="21"/>
  <c r="Y92" i="21"/>
  <c r="Y127" i="21"/>
  <c r="Y150" i="21"/>
  <c r="Y10" i="21"/>
  <c r="Y163" i="21"/>
  <c r="Y138" i="21"/>
  <c r="Y205" i="21"/>
  <c r="Y181" i="21"/>
  <c r="K43" i="21"/>
  <c r="T68" i="21"/>
  <c r="K68" i="21"/>
  <c r="Z68" i="21" s="1"/>
  <c r="F38" i="21"/>
  <c r="E38" i="21"/>
  <c r="D38" i="21"/>
  <c r="U34" i="21"/>
  <c r="U32" i="21"/>
  <c r="U30" i="21"/>
  <c r="U28" i="21"/>
  <c r="U27" i="21"/>
  <c r="U25" i="21"/>
  <c r="U24" i="21"/>
  <c r="U23" i="21"/>
  <c r="U21" i="21"/>
  <c r="U20" i="21"/>
  <c r="U18" i="21"/>
  <c r="U17" i="21"/>
  <c r="U15" i="21"/>
  <c r="U14" i="21"/>
  <c r="U13" i="21"/>
  <c r="U12" i="21"/>
  <c r="U11" i="21"/>
  <c r="U9" i="21"/>
  <c r="U8" i="21"/>
  <c r="I66" i="15"/>
  <c r="I65" i="15"/>
  <c r="I64" i="15"/>
  <c r="I63" i="15"/>
  <c r="I62" i="15"/>
  <c r="I61" i="15"/>
  <c r="I60" i="15"/>
  <c r="I59" i="15"/>
  <c r="I58" i="15"/>
  <c r="I57" i="15"/>
  <c r="I56" i="15"/>
  <c r="I55" i="15"/>
  <c r="I54" i="15"/>
  <c r="I53" i="15"/>
  <c r="I52" i="15"/>
  <c r="I51" i="15"/>
  <c r="I50" i="15"/>
  <c r="I48" i="15"/>
  <c r="I47" i="15"/>
  <c r="I46" i="15"/>
  <c r="I45" i="15"/>
  <c r="I44" i="15"/>
  <c r="I43" i="15"/>
  <c r="I42" i="15"/>
  <c r="I41" i="15"/>
  <c r="I40" i="15"/>
  <c r="I39" i="15"/>
  <c r="I38" i="15"/>
  <c r="I37" i="15"/>
  <c r="I36" i="15"/>
  <c r="I35" i="15"/>
  <c r="I34" i="15"/>
  <c r="I33" i="15"/>
  <c r="I32" i="15"/>
  <c r="I31" i="15"/>
  <c r="I30" i="15"/>
  <c r="I29" i="15"/>
  <c r="I27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I13" i="15"/>
  <c r="I12" i="15"/>
  <c r="I11" i="15"/>
  <c r="I9" i="15"/>
  <c r="I7" i="15"/>
  <c r="K168" i="21"/>
  <c r="Z43" i="21" l="1"/>
  <c r="AF43" i="21"/>
  <c r="Z168" i="21"/>
  <c r="S168" i="21"/>
  <c r="Y196" i="21"/>
  <c r="Z6" i="21"/>
  <c r="Y137" i="21"/>
  <c r="Y6" i="21"/>
  <c r="Y36" i="21"/>
  <c r="I6" i="15"/>
  <c r="I26" i="15"/>
  <c r="U225" i="21"/>
  <c r="AD225" i="21" s="1"/>
  <c r="AF225" i="21" s="1"/>
  <c r="U224" i="21"/>
  <c r="AD224" i="21" s="1"/>
  <c r="AF224" i="21" s="1"/>
  <c r="U223" i="21"/>
  <c r="AD223" i="21" s="1"/>
  <c r="U220" i="21"/>
  <c r="AD220" i="21" s="1"/>
  <c r="AF220" i="21" s="1"/>
  <c r="U219" i="21"/>
  <c r="AD219" i="21" s="1"/>
  <c r="U213" i="21"/>
  <c r="AD213" i="21" s="1"/>
  <c r="AF213" i="21" s="1"/>
  <c r="U211" i="21"/>
  <c r="U210" i="21"/>
  <c r="AD210" i="21" s="1"/>
  <c r="AF210" i="21" s="1"/>
  <c r="U209" i="21"/>
  <c r="AD209" i="21" s="1"/>
  <c r="AF209" i="21" s="1"/>
  <c r="U208" i="21"/>
  <c r="AD208" i="21" s="1"/>
  <c r="AF208" i="21" s="1"/>
  <c r="U207" i="21"/>
  <c r="AD207" i="21" s="1"/>
  <c r="U206" i="21"/>
  <c r="U204" i="21"/>
  <c r="AD204" i="21" s="1"/>
  <c r="AF204" i="21" s="1"/>
  <c r="U203" i="21"/>
  <c r="U202" i="21"/>
  <c r="AD202" i="21" s="1"/>
  <c r="AF202" i="21" s="1"/>
  <c r="U201" i="21"/>
  <c r="AD201" i="21" s="1"/>
  <c r="AF201" i="21" s="1"/>
  <c r="U200" i="21"/>
  <c r="U199" i="21"/>
  <c r="AD199" i="21" s="1"/>
  <c r="AF199" i="21" s="1"/>
  <c r="U198" i="21"/>
  <c r="AD198" i="21" s="1"/>
  <c r="U195" i="21"/>
  <c r="U194" i="21"/>
  <c r="U162" i="21"/>
  <c r="AD162" i="21" s="1"/>
  <c r="AF162" i="21" s="1"/>
  <c r="U161" i="21"/>
  <c r="AD161" i="21" s="1"/>
  <c r="AF161" i="21" s="1"/>
  <c r="U160" i="21"/>
  <c r="AD160" i="21" s="1"/>
  <c r="AF160" i="21" s="1"/>
  <c r="U159" i="21"/>
  <c r="AD159" i="21" s="1"/>
  <c r="AF159" i="21" s="1"/>
  <c r="U158" i="21"/>
  <c r="AD158" i="21" s="1"/>
  <c r="AF158" i="21" s="1"/>
  <c r="U157" i="21"/>
  <c r="AD157" i="21" s="1"/>
  <c r="AF157" i="21" s="1"/>
  <c r="U156" i="21"/>
  <c r="AD156" i="21" s="1"/>
  <c r="U155" i="21"/>
  <c r="AD155" i="21" s="1"/>
  <c r="AF155" i="21" s="1"/>
  <c r="U153" i="21"/>
  <c r="AD153" i="21" s="1"/>
  <c r="AF153" i="21" s="1"/>
  <c r="U151" i="21"/>
  <c r="AD151" i="21" s="1"/>
  <c r="AF151" i="21" s="1"/>
  <c r="U149" i="21"/>
  <c r="AD149" i="21" s="1"/>
  <c r="AF149" i="21" s="1"/>
  <c r="U148" i="21"/>
  <c r="AD148" i="21" s="1"/>
  <c r="AF148" i="21" s="1"/>
  <c r="U147" i="21"/>
  <c r="AD147" i="21" s="1"/>
  <c r="AF147" i="21" s="1"/>
  <c r="U146" i="21"/>
  <c r="AD146" i="21" s="1"/>
  <c r="AF146" i="21" s="1"/>
  <c r="U145" i="21"/>
  <c r="AD145" i="21" s="1"/>
  <c r="AF145" i="21" s="1"/>
  <c r="U144" i="21"/>
  <c r="AD144" i="21" s="1"/>
  <c r="AF144" i="21" s="1"/>
  <c r="U143" i="21"/>
  <c r="AD143" i="21" s="1"/>
  <c r="U142" i="21"/>
  <c r="AD142" i="21" s="1"/>
  <c r="AF142" i="21" s="1"/>
  <c r="U140" i="21"/>
  <c r="U139" i="21"/>
  <c r="AD139" i="21" s="1"/>
  <c r="AF139" i="21" s="1"/>
  <c r="U134" i="21"/>
  <c r="AD134" i="21" s="1"/>
  <c r="AF134" i="21" s="1"/>
  <c r="U133" i="21"/>
  <c r="AD133" i="21" s="1"/>
  <c r="U132" i="21"/>
  <c r="AD132" i="21" s="1"/>
  <c r="AF132" i="21" s="1"/>
  <c r="U131" i="21"/>
  <c r="AD131" i="21" s="1"/>
  <c r="AF131" i="21" s="1"/>
  <c r="U130" i="21"/>
  <c r="AD130" i="21" s="1"/>
  <c r="AF130" i="21" s="1"/>
  <c r="U129" i="21"/>
  <c r="AD129" i="21" s="1"/>
  <c r="AF129" i="21" s="1"/>
  <c r="U126" i="21"/>
  <c r="AD126" i="21" s="1"/>
  <c r="AF126" i="21" s="1"/>
  <c r="U125" i="21"/>
  <c r="AD125" i="21" s="1"/>
  <c r="AF125" i="21" s="1"/>
  <c r="U124" i="21"/>
  <c r="AD124" i="21" s="1"/>
  <c r="AF124" i="21" s="1"/>
  <c r="U123" i="21"/>
  <c r="AD123" i="21" s="1"/>
  <c r="AF123" i="21" s="1"/>
  <c r="U122" i="21"/>
  <c r="AD122" i="21" s="1"/>
  <c r="U91" i="21"/>
  <c r="AD91" i="21" s="1"/>
  <c r="AF91" i="21" s="1"/>
  <c r="U90" i="21"/>
  <c r="AD90" i="21" s="1"/>
  <c r="AF90" i="21" s="1"/>
  <c r="U89" i="21"/>
  <c r="AD89" i="21" s="1"/>
  <c r="AF89" i="21" s="1"/>
  <c r="U88" i="21"/>
  <c r="AD88" i="21" s="1"/>
  <c r="AF88" i="21" s="1"/>
  <c r="U87" i="21"/>
  <c r="AD87" i="21" s="1"/>
  <c r="AF87" i="21" s="1"/>
  <c r="U86" i="21"/>
  <c r="AD86" i="21" s="1"/>
  <c r="AF86" i="21" s="1"/>
  <c r="U85" i="21"/>
  <c r="AD85" i="21" s="1"/>
  <c r="AF85" i="21" s="1"/>
  <c r="U84" i="21"/>
  <c r="AD84" i="21" s="1"/>
  <c r="AF84" i="21" s="1"/>
  <c r="U83" i="21"/>
  <c r="AD83" i="21" s="1"/>
  <c r="AF83" i="21" s="1"/>
  <c r="U82" i="21"/>
  <c r="AD82" i="21" s="1"/>
  <c r="AF82" i="21" s="1"/>
  <c r="U81" i="21"/>
  <c r="U80" i="21"/>
  <c r="AD80" i="21" s="1"/>
  <c r="AF80" i="21" s="1"/>
  <c r="U79" i="21"/>
  <c r="AD79" i="21" s="1"/>
  <c r="AF79" i="21" s="1"/>
  <c r="U78" i="21"/>
  <c r="U77" i="21"/>
  <c r="AD77" i="21" s="1"/>
  <c r="AF77" i="21" s="1"/>
  <c r="U76" i="21"/>
  <c r="AD76" i="21" s="1"/>
  <c r="AF76" i="21" s="1"/>
  <c r="U75" i="21"/>
  <c r="AD75" i="21" s="1"/>
  <c r="AF75" i="21" s="1"/>
  <c r="U74" i="21"/>
  <c r="AD74" i="21" s="1"/>
  <c r="AF74" i="21" s="1"/>
  <c r="U73" i="21"/>
  <c r="AD73" i="21" s="1"/>
  <c r="AF73" i="21" s="1"/>
  <c r="U72" i="21"/>
  <c r="U71" i="21"/>
  <c r="U67" i="21"/>
  <c r="U66" i="21"/>
  <c r="AD66" i="21" s="1"/>
  <c r="U64" i="21"/>
  <c r="T128" i="21"/>
  <c r="T127" i="21" s="1"/>
  <c r="U62" i="21"/>
  <c r="U61" i="21"/>
  <c r="U60" i="21"/>
  <c r="U59" i="21"/>
  <c r="U58" i="21"/>
  <c r="U57" i="21"/>
  <c r="U56" i="21"/>
  <c r="U55" i="21"/>
  <c r="U54" i="21"/>
  <c r="U53" i="21"/>
  <c r="U52" i="21"/>
  <c r="U51" i="21"/>
  <c r="U50" i="21"/>
  <c r="U49" i="21"/>
  <c r="U48" i="21"/>
  <c r="U47" i="21"/>
  <c r="U46" i="21"/>
  <c r="U45" i="21"/>
  <c r="U42" i="21"/>
  <c r="U41" i="21"/>
  <c r="AF41" i="21" s="1"/>
  <c r="U40" i="21"/>
  <c r="AF40" i="21" s="1"/>
  <c r="U39" i="21"/>
  <c r="U229" i="21"/>
  <c r="U189" i="21"/>
  <c r="U135" i="21"/>
  <c r="U33" i="21"/>
  <c r="U31" i="21"/>
  <c r="U29" i="21"/>
  <c r="U26" i="21"/>
  <c r="U22" i="21"/>
  <c r="U19" i="21"/>
  <c r="U16" i="21"/>
  <c r="U10" i="21"/>
  <c r="U7" i="21"/>
  <c r="T229" i="21"/>
  <c r="T226" i="21"/>
  <c r="T222" i="21"/>
  <c r="T221" i="21"/>
  <c r="T218" i="21"/>
  <c r="T214" i="21"/>
  <c r="T212" i="21"/>
  <c r="T205" i="21" s="1"/>
  <c r="T197" i="21"/>
  <c r="T193" i="21"/>
  <c r="T192" i="21" s="1"/>
  <c r="T189" i="21"/>
  <c r="T181" i="21"/>
  <c r="T163" i="21"/>
  <c r="T154" i="21"/>
  <c r="T152" i="21"/>
  <c r="T138" i="21"/>
  <c r="T135" i="21"/>
  <c r="T121" i="21"/>
  <c r="T92" i="21"/>
  <c r="T70" i="21"/>
  <c r="T69" i="21"/>
  <c r="T63" i="21"/>
  <c r="T37" i="21"/>
  <c r="T33" i="21"/>
  <c r="T31" i="21"/>
  <c r="T29" i="21"/>
  <c r="T26" i="21"/>
  <c r="T22" i="21"/>
  <c r="T19" i="21"/>
  <c r="T16" i="21"/>
  <c r="T10" i="21"/>
  <c r="T7" i="21"/>
  <c r="M230" i="21"/>
  <c r="L230" i="21"/>
  <c r="F230" i="21"/>
  <c r="E230" i="21"/>
  <c r="D230" i="21"/>
  <c r="K229" i="21"/>
  <c r="AF229" i="21" s="1"/>
  <c r="J229" i="21"/>
  <c r="I229" i="21"/>
  <c r="L229" i="21" s="1"/>
  <c r="K228" i="21"/>
  <c r="AF228" i="21" s="1"/>
  <c r="F228" i="21"/>
  <c r="E228" i="21"/>
  <c r="D228" i="21"/>
  <c r="M227" i="21"/>
  <c r="L227" i="21"/>
  <c r="K227" i="21"/>
  <c r="F227" i="21"/>
  <c r="E227" i="21"/>
  <c r="D227" i="21"/>
  <c r="O226" i="21"/>
  <c r="N226" i="21"/>
  <c r="J226" i="21"/>
  <c r="I226" i="21"/>
  <c r="M225" i="21"/>
  <c r="L225" i="21"/>
  <c r="F225" i="21"/>
  <c r="E225" i="21"/>
  <c r="D225" i="21"/>
  <c r="M224" i="21"/>
  <c r="L224" i="21"/>
  <c r="F224" i="21"/>
  <c r="E224" i="21"/>
  <c r="D224" i="21"/>
  <c r="M223" i="21"/>
  <c r="L223" i="21"/>
  <c r="F223" i="21"/>
  <c r="E223" i="21"/>
  <c r="D223" i="21"/>
  <c r="K222" i="21"/>
  <c r="J222" i="21"/>
  <c r="M222" i="21" s="1"/>
  <c r="I222" i="21"/>
  <c r="L222" i="21" s="1"/>
  <c r="M221" i="21"/>
  <c r="L221" i="21"/>
  <c r="K221" i="21"/>
  <c r="F221" i="21"/>
  <c r="E221" i="21"/>
  <c r="D221" i="21"/>
  <c r="M220" i="21"/>
  <c r="L220" i="21"/>
  <c r="F220" i="21"/>
  <c r="E220" i="21"/>
  <c r="D220" i="21"/>
  <c r="M219" i="21"/>
  <c r="L219" i="21"/>
  <c r="F219" i="21"/>
  <c r="E219" i="21"/>
  <c r="D219" i="21"/>
  <c r="J218" i="21"/>
  <c r="I218" i="21"/>
  <c r="K217" i="21"/>
  <c r="I217" i="21"/>
  <c r="F217" i="21"/>
  <c r="E217" i="21"/>
  <c r="D217" i="21"/>
  <c r="M216" i="21"/>
  <c r="K216" i="21"/>
  <c r="I216" i="21"/>
  <c r="F216" i="21"/>
  <c r="E216" i="21"/>
  <c r="D216" i="21"/>
  <c r="M215" i="21"/>
  <c r="K215" i="21"/>
  <c r="I215" i="21"/>
  <c r="F215" i="21"/>
  <c r="E215" i="21"/>
  <c r="D215" i="21"/>
  <c r="Q214" i="21"/>
  <c r="P214" i="21"/>
  <c r="O214" i="21"/>
  <c r="N214" i="21"/>
  <c r="J214" i="21"/>
  <c r="M213" i="21"/>
  <c r="I213" i="21"/>
  <c r="L213" i="21" s="1"/>
  <c r="F213" i="21"/>
  <c r="E213" i="21"/>
  <c r="D213" i="21"/>
  <c r="K212" i="21"/>
  <c r="K205" i="21" s="1"/>
  <c r="I212" i="21"/>
  <c r="F212" i="21"/>
  <c r="E212" i="21"/>
  <c r="D212" i="21"/>
  <c r="M211" i="21"/>
  <c r="I211" i="21"/>
  <c r="L211" i="21" s="1"/>
  <c r="F211" i="21"/>
  <c r="E211" i="21"/>
  <c r="D211" i="21"/>
  <c r="M210" i="21"/>
  <c r="L210" i="21"/>
  <c r="F210" i="21"/>
  <c r="E210" i="21"/>
  <c r="D210" i="21"/>
  <c r="M209" i="21"/>
  <c r="I209" i="21"/>
  <c r="L209" i="21" s="1"/>
  <c r="F209" i="21"/>
  <c r="E209" i="21"/>
  <c r="D209" i="21"/>
  <c r="M208" i="21"/>
  <c r="I208" i="21"/>
  <c r="F208" i="21"/>
  <c r="E208" i="21"/>
  <c r="D208" i="21"/>
  <c r="M207" i="21"/>
  <c r="I207" i="21"/>
  <c r="L207" i="21" s="1"/>
  <c r="F207" i="21"/>
  <c r="E207" i="21"/>
  <c r="D207" i="21"/>
  <c r="M206" i="21"/>
  <c r="I206" i="21"/>
  <c r="L206" i="21" s="1"/>
  <c r="F206" i="21"/>
  <c r="E206" i="21"/>
  <c r="D206" i="21"/>
  <c r="J205" i="21"/>
  <c r="M204" i="21"/>
  <c r="I204" i="21"/>
  <c r="L204" i="21" s="1"/>
  <c r="F204" i="21"/>
  <c r="E204" i="21"/>
  <c r="D204" i="21"/>
  <c r="M203" i="21"/>
  <c r="I203" i="21"/>
  <c r="L203" i="21" s="1"/>
  <c r="F203" i="21"/>
  <c r="E203" i="21"/>
  <c r="D203" i="21"/>
  <c r="M202" i="21"/>
  <c r="L202" i="21"/>
  <c r="F202" i="21"/>
  <c r="E202" i="21"/>
  <c r="D202" i="21"/>
  <c r="M201" i="21"/>
  <c r="L201" i="21"/>
  <c r="F201" i="21"/>
  <c r="E201" i="21"/>
  <c r="D201" i="21"/>
  <c r="M200" i="21"/>
  <c r="I200" i="21"/>
  <c r="L200" i="21" s="1"/>
  <c r="F200" i="21"/>
  <c r="E200" i="21"/>
  <c r="D200" i="21"/>
  <c r="M199" i="21"/>
  <c r="L199" i="21"/>
  <c r="F199" i="21"/>
  <c r="E199" i="21"/>
  <c r="D199" i="21"/>
  <c r="M198" i="21"/>
  <c r="L198" i="21"/>
  <c r="F198" i="21"/>
  <c r="E198" i="21"/>
  <c r="D198" i="21"/>
  <c r="K197" i="21"/>
  <c r="J197" i="21"/>
  <c r="M195" i="21"/>
  <c r="L195" i="21"/>
  <c r="F195" i="21"/>
  <c r="E195" i="21"/>
  <c r="D195" i="21"/>
  <c r="M194" i="21"/>
  <c r="L194" i="21"/>
  <c r="F194" i="21"/>
  <c r="E194" i="21"/>
  <c r="D194" i="21"/>
  <c r="K193" i="21"/>
  <c r="J193" i="21"/>
  <c r="I193" i="21"/>
  <c r="I192" i="21" s="1"/>
  <c r="M191" i="21"/>
  <c r="L191" i="21"/>
  <c r="F191" i="21"/>
  <c r="E191" i="21"/>
  <c r="D191" i="21"/>
  <c r="J190" i="21"/>
  <c r="J189" i="21" s="1"/>
  <c r="M189" i="21" s="1"/>
  <c r="I190" i="21"/>
  <c r="I189" i="21" s="1"/>
  <c r="L189" i="21" s="1"/>
  <c r="K189" i="21"/>
  <c r="AF189" i="21" s="1"/>
  <c r="K188" i="21"/>
  <c r="I188" i="21"/>
  <c r="F188" i="21"/>
  <c r="E188" i="21"/>
  <c r="D188" i="21"/>
  <c r="K187" i="21"/>
  <c r="I187" i="21"/>
  <c r="L187" i="21" s="1"/>
  <c r="F187" i="21"/>
  <c r="E187" i="21"/>
  <c r="D187" i="21"/>
  <c r="K186" i="21"/>
  <c r="I186" i="21"/>
  <c r="F186" i="21"/>
  <c r="E186" i="21"/>
  <c r="D186" i="21"/>
  <c r="M185" i="21"/>
  <c r="L185" i="21"/>
  <c r="K185" i="21"/>
  <c r="F185" i="21"/>
  <c r="E185" i="21"/>
  <c r="D185" i="21"/>
  <c r="K184" i="21"/>
  <c r="I184" i="21"/>
  <c r="L184" i="21" s="1"/>
  <c r="F184" i="21"/>
  <c r="E184" i="21"/>
  <c r="D184" i="21"/>
  <c r="K183" i="21"/>
  <c r="I183" i="21"/>
  <c r="L183" i="21" s="1"/>
  <c r="F183" i="21"/>
  <c r="E183" i="21"/>
  <c r="D183" i="21"/>
  <c r="K182" i="21"/>
  <c r="I182" i="21"/>
  <c r="L182" i="21" s="1"/>
  <c r="F182" i="21"/>
  <c r="E182" i="21"/>
  <c r="D182" i="21"/>
  <c r="O181" i="21"/>
  <c r="N181" i="21"/>
  <c r="J181" i="21"/>
  <c r="M180" i="21"/>
  <c r="K180" i="21"/>
  <c r="I180" i="21"/>
  <c r="L180" i="21" s="1"/>
  <c r="F180" i="21"/>
  <c r="E180" i="21"/>
  <c r="D180" i="21"/>
  <c r="K179" i="21"/>
  <c r="I179" i="21"/>
  <c r="F179" i="21"/>
  <c r="E179" i="21"/>
  <c r="D179" i="21"/>
  <c r="K178" i="21"/>
  <c r="I178" i="21"/>
  <c r="F178" i="21"/>
  <c r="E178" i="21"/>
  <c r="D178" i="21"/>
  <c r="K177" i="21"/>
  <c r="I177" i="21"/>
  <c r="L177" i="21" s="1"/>
  <c r="F177" i="21"/>
  <c r="E177" i="21"/>
  <c r="D177" i="21"/>
  <c r="K176" i="21"/>
  <c r="I176" i="21"/>
  <c r="F176" i="21"/>
  <c r="E176" i="21"/>
  <c r="D176" i="21"/>
  <c r="K175" i="21"/>
  <c r="I175" i="21"/>
  <c r="F175" i="21"/>
  <c r="E175" i="21"/>
  <c r="D175" i="21"/>
  <c r="K174" i="21"/>
  <c r="I174" i="21"/>
  <c r="F174" i="21"/>
  <c r="E174" i="21"/>
  <c r="D174" i="21"/>
  <c r="M173" i="21"/>
  <c r="K173" i="21"/>
  <c r="I173" i="21"/>
  <c r="L173" i="21" s="1"/>
  <c r="F173" i="21"/>
  <c r="E173" i="21"/>
  <c r="D173" i="21"/>
  <c r="K172" i="21"/>
  <c r="I172" i="21"/>
  <c r="L172" i="21" s="1"/>
  <c r="F172" i="21"/>
  <c r="E172" i="21"/>
  <c r="D172" i="21"/>
  <c r="M171" i="21"/>
  <c r="K171" i="21"/>
  <c r="I171" i="21"/>
  <c r="F171" i="21"/>
  <c r="E171" i="21"/>
  <c r="D171" i="21"/>
  <c r="M170" i="21"/>
  <c r="K170" i="21"/>
  <c r="I170" i="21"/>
  <c r="L170" i="21" s="1"/>
  <c r="F170" i="21"/>
  <c r="E170" i="21"/>
  <c r="D170" i="21"/>
  <c r="M169" i="21"/>
  <c r="K169" i="21"/>
  <c r="I169" i="21"/>
  <c r="F169" i="21"/>
  <c r="E169" i="21"/>
  <c r="D169" i="21"/>
  <c r="M168" i="21"/>
  <c r="U168" i="21"/>
  <c r="AD168" i="21" s="1"/>
  <c r="AF168" i="21" s="1"/>
  <c r="I168" i="21"/>
  <c r="L168" i="21" s="1"/>
  <c r="F168" i="21"/>
  <c r="E168" i="21"/>
  <c r="D168" i="21"/>
  <c r="K167" i="21"/>
  <c r="I167" i="21"/>
  <c r="F167" i="21"/>
  <c r="E167" i="21"/>
  <c r="D167" i="21"/>
  <c r="M166" i="21"/>
  <c r="K166" i="21"/>
  <c r="I166" i="21"/>
  <c r="F166" i="21"/>
  <c r="E166" i="21"/>
  <c r="D166" i="21"/>
  <c r="K165" i="21"/>
  <c r="I165" i="21"/>
  <c r="F165" i="21"/>
  <c r="E165" i="21"/>
  <c r="D165" i="21"/>
  <c r="K164" i="21"/>
  <c r="I164" i="21"/>
  <c r="F164" i="21"/>
  <c r="E164" i="21"/>
  <c r="D164" i="21"/>
  <c r="O163" i="21"/>
  <c r="N163" i="21"/>
  <c r="J163" i="21"/>
  <c r="M162" i="21"/>
  <c r="I162" i="21"/>
  <c r="L162" i="21" s="1"/>
  <c r="F162" i="21"/>
  <c r="E162" i="21"/>
  <c r="D162" i="21"/>
  <c r="M161" i="21"/>
  <c r="I161" i="21"/>
  <c r="L161" i="21" s="1"/>
  <c r="F161" i="21"/>
  <c r="E161" i="21"/>
  <c r="D161" i="21"/>
  <c r="M160" i="21"/>
  <c r="I160" i="21"/>
  <c r="L160" i="21" s="1"/>
  <c r="F160" i="21"/>
  <c r="E160" i="21"/>
  <c r="D160" i="21"/>
  <c r="M159" i="21"/>
  <c r="I159" i="21"/>
  <c r="L159" i="21" s="1"/>
  <c r="F159" i="21"/>
  <c r="E159" i="21"/>
  <c r="D159" i="21"/>
  <c r="M158" i="21"/>
  <c r="I158" i="21"/>
  <c r="L158" i="21" s="1"/>
  <c r="F158" i="21"/>
  <c r="E158" i="21"/>
  <c r="D158" i="21"/>
  <c r="M157" i="21"/>
  <c r="I157" i="21"/>
  <c r="L157" i="21" s="1"/>
  <c r="F157" i="21"/>
  <c r="E157" i="21"/>
  <c r="D157" i="21"/>
  <c r="M156" i="21"/>
  <c r="I156" i="21"/>
  <c r="L156" i="21" s="1"/>
  <c r="F156" i="21"/>
  <c r="E156" i="21"/>
  <c r="D156" i="21"/>
  <c r="M155" i="21"/>
  <c r="I155" i="21"/>
  <c r="L155" i="21" s="1"/>
  <c r="F155" i="21"/>
  <c r="E155" i="21"/>
  <c r="D155" i="21"/>
  <c r="K154" i="21"/>
  <c r="I154" i="21"/>
  <c r="F154" i="21"/>
  <c r="E154" i="21"/>
  <c r="D154" i="21"/>
  <c r="M153" i="21"/>
  <c r="I153" i="21"/>
  <c r="L153" i="21" s="1"/>
  <c r="F153" i="21"/>
  <c r="E153" i="21"/>
  <c r="D153" i="21"/>
  <c r="K152" i="21"/>
  <c r="M152" i="21" s="1"/>
  <c r="I152" i="21"/>
  <c r="F152" i="21"/>
  <c r="E152" i="21"/>
  <c r="D152" i="21"/>
  <c r="M151" i="21"/>
  <c r="I151" i="21"/>
  <c r="L151" i="21" s="1"/>
  <c r="F151" i="21"/>
  <c r="E151" i="21"/>
  <c r="D151" i="21"/>
  <c r="J150" i="21"/>
  <c r="M149" i="21"/>
  <c r="I149" i="21"/>
  <c r="L149" i="21" s="1"/>
  <c r="F149" i="21"/>
  <c r="E149" i="21"/>
  <c r="D149" i="21"/>
  <c r="M148" i="21"/>
  <c r="I148" i="21"/>
  <c r="L148" i="21" s="1"/>
  <c r="F148" i="21"/>
  <c r="E148" i="21"/>
  <c r="D148" i="21"/>
  <c r="M147" i="21"/>
  <c r="I147" i="21"/>
  <c r="L147" i="21" s="1"/>
  <c r="F147" i="21"/>
  <c r="E147" i="21"/>
  <c r="D147" i="21"/>
  <c r="M146" i="21"/>
  <c r="I146" i="21"/>
  <c r="L146" i="21" s="1"/>
  <c r="F146" i="21"/>
  <c r="E146" i="21"/>
  <c r="D146" i="21"/>
  <c r="M145" i="21"/>
  <c r="I145" i="21"/>
  <c r="L145" i="21" s="1"/>
  <c r="F145" i="21"/>
  <c r="E145" i="21"/>
  <c r="D145" i="21"/>
  <c r="M144" i="21"/>
  <c r="I144" i="21"/>
  <c r="L144" i="21" s="1"/>
  <c r="F144" i="21"/>
  <c r="E144" i="21"/>
  <c r="D144" i="21"/>
  <c r="M143" i="21"/>
  <c r="I143" i="21"/>
  <c r="L143" i="21" s="1"/>
  <c r="F143" i="21"/>
  <c r="E143" i="21"/>
  <c r="D143" i="21"/>
  <c r="M142" i="21"/>
  <c r="I142" i="21"/>
  <c r="L142" i="21" s="1"/>
  <c r="F142" i="21"/>
  <c r="E142" i="21"/>
  <c r="D142" i="21"/>
  <c r="K141" i="21"/>
  <c r="K138" i="21" s="1"/>
  <c r="I141" i="21"/>
  <c r="F141" i="21"/>
  <c r="E141" i="21"/>
  <c r="D141" i="21"/>
  <c r="M140" i="21"/>
  <c r="I140" i="21"/>
  <c r="L140" i="21" s="1"/>
  <c r="F140" i="21"/>
  <c r="E140" i="21"/>
  <c r="D140" i="21"/>
  <c r="M139" i="21"/>
  <c r="I139" i="21"/>
  <c r="F139" i="21"/>
  <c r="E139" i="21"/>
  <c r="D139" i="21"/>
  <c r="J138" i="21"/>
  <c r="M136" i="21"/>
  <c r="L136" i="21"/>
  <c r="F136" i="21"/>
  <c r="E136" i="21"/>
  <c r="D136" i="21"/>
  <c r="K135" i="21"/>
  <c r="AF135" i="21" s="1"/>
  <c r="J135" i="21"/>
  <c r="M135" i="21" s="1"/>
  <c r="I135" i="21"/>
  <c r="L135" i="21" s="1"/>
  <c r="M134" i="21"/>
  <c r="L134" i="21"/>
  <c r="F134" i="21"/>
  <c r="E134" i="21"/>
  <c r="D134" i="21"/>
  <c r="M133" i="21"/>
  <c r="L133" i="21"/>
  <c r="F133" i="21"/>
  <c r="E133" i="21"/>
  <c r="D133" i="21"/>
  <c r="M132" i="21"/>
  <c r="I132" i="21"/>
  <c r="L132" i="21" s="1"/>
  <c r="F132" i="21"/>
  <c r="E132" i="21"/>
  <c r="D132" i="21"/>
  <c r="M131" i="21"/>
  <c r="L131" i="21"/>
  <c r="F131" i="21"/>
  <c r="E131" i="21"/>
  <c r="D131" i="21"/>
  <c r="M130" i="21"/>
  <c r="I130" i="21"/>
  <c r="L130" i="21" s="1"/>
  <c r="F130" i="21"/>
  <c r="E130" i="21"/>
  <c r="D130" i="21"/>
  <c r="M129" i="21"/>
  <c r="I129" i="21"/>
  <c r="L129" i="21" s="1"/>
  <c r="F129" i="21"/>
  <c r="E129" i="21"/>
  <c r="D129" i="21"/>
  <c r="K128" i="21"/>
  <c r="I128" i="21"/>
  <c r="F128" i="21"/>
  <c r="E128" i="21"/>
  <c r="D128" i="21"/>
  <c r="J127" i="21"/>
  <c r="M126" i="21"/>
  <c r="I126" i="21"/>
  <c r="L126" i="21" s="1"/>
  <c r="F126" i="21"/>
  <c r="E126" i="21"/>
  <c r="D126" i="21"/>
  <c r="M125" i="21"/>
  <c r="I125" i="21"/>
  <c r="L125" i="21" s="1"/>
  <c r="F125" i="21"/>
  <c r="E125" i="21"/>
  <c r="D125" i="21"/>
  <c r="M124" i="21"/>
  <c r="I124" i="21"/>
  <c r="L124" i="21" s="1"/>
  <c r="F124" i="21"/>
  <c r="E124" i="21"/>
  <c r="D124" i="21"/>
  <c r="M123" i="21"/>
  <c r="I123" i="21"/>
  <c r="F123" i="21"/>
  <c r="E123" i="21"/>
  <c r="D123" i="21"/>
  <c r="M122" i="21"/>
  <c r="I122" i="21"/>
  <c r="L122" i="21" s="1"/>
  <c r="F122" i="21"/>
  <c r="E122" i="21"/>
  <c r="D122" i="21"/>
  <c r="K121" i="21"/>
  <c r="J121" i="21"/>
  <c r="K120" i="21"/>
  <c r="I120" i="21"/>
  <c r="L120" i="21" s="1"/>
  <c r="F120" i="21"/>
  <c r="E120" i="21"/>
  <c r="D120" i="21"/>
  <c r="K119" i="21"/>
  <c r="I119" i="21"/>
  <c r="L119" i="21" s="1"/>
  <c r="F119" i="21"/>
  <c r="E119" i="21"/>
  <c r="D119" i="21"/>
  <c r="K118" i="21"/>
  <c r="I118" i="21"/>
  <c r="F118" i="21"/>
  <c r="E118" i="21"/>
  <c r="D118" i="21"/>
  <c r="K117" i="21"/>
  <c r="I117" i="21"/>
  <c r="F117" i="21"/>
  <c r="E117" i="21"/>
  <c r="D117" i="21"/>
  <c r="M116" i="21"/>
  <c r="K116" i="21"/>
  <c r="I116" i="21"/>
  <c r="L116" i="21" s="1"/>
  <c r="F116" i="21"/>
  <c r="E116" i="21"/>
  <c r="D116" i="21"/>
  <c r="K115" i="21"/>
  <c r="I115" i="21"/>
  <c r="F115" i="21"/>
  <c r="E115" i="21"/>
  <c r="D115" i="21"/>
  <c r="K114" i="21"/>
  <c r="I114" i="21"/>
  <c r="F114" i="21"/>
  <c r="E114" i="21"/>
  <c r="D114" i="21"/>
  <c r="K113" i="21"/>
  <c r="I113" i="21"/>
  <c r="F113" i="21"/>
  <c r="E113" i="21"/>
  <c r="D113" i="21"/>
  <c r="K112" i="21"/>
  <c r="I112" i="21"/>
  <c r="F112" i="21"/>
  <c r="E112" i="21"/>
  <c r="D112" i="21"/>
  <c r="K111" i="21"/>
  <c r="I111" i="21"/>
  <c r="F111" i="21"/>
  <c r="E111" i="21"/>
  <c r="D111" i="21"/>
  <c r="K110" i="21"/>
  <c r="I110" i="21"/>
  <c r="L110" i="21" s="1"/>
  <c r="F110" i="21"/>
  <c r="E110" i="21"/>
  <c r="D110" i="21"/>
  <c r="K109" i="21"/>
  <c r="I109" i="21"/>
  <c r="F109" i="21"/>
  <c r="E109" i="21"/>
  <c r="D109" i="21"/>
  <c r="K108" i="21"/>
  <c r="I108" i="21"/>
  <c r="F108" i="21"/>
  <c r="E108" i="21"/>
  <c r="D108" i="21"/>
  <c r="K107" i="21"/>
  <c r="I107" i="21"/>
  <c r="F107" i="21"/>
  <c r="E107" i="21"/>
  <c r="D107" i="21"/>
  <c r="K106" i="21"/>
  <c r="I106" i="21"/>
  <c r="F106" i="21"/>
  <c r="E106" i="21"/>
  <c r="D106" i="21"/>
  <c r="K105" i="21"/>
  <c r="I105" i="21"/>
  <c r="L105" i="21" s="1"/>
  <c r="F105" i="21"/>
  <c r="E105" i="21"/>
  <c r="D105" i="21"/>
  <c r="K104" i="21"/>
  <c r="I104" i="21"/>
  <c r="F104" i="21"/>
  <c r="E104" i="21"/>
  <c r="D104" i="21"/>
  <c r="K103" i="21"/>
  <c r="I103" i="21"/>
  <c r="L103" i="21" s="1"/>
  <c r="F103" i="21"/>
  <c r="E103" i="21"/>
  <c r="D103" i="21"/>
  <c r="K102" i="21"/>
  <c r="AF102" i="21" s="1"/>
  <c r="I102" i="21"/>
  <c r="F102" i="21"/>
  <c r="E102" i="21"/>
  <c r="D102" i="21"/>
  <c r="K101" i="21"/>
  <c r="I101" i="21"/>
  <c r="F101" i="21"/>
  <c r="E101" i="21"/>
  <c r="D101" i="21"/>
  <c r="K100" i="21"/>
  <c r="I100" i="21"/>
  <c r="F100" i="21"/>
  <c r="E100" i="21"/>
  <c r="D100" i="21"/>
  <c r="K99" i="21"/>
  <c r="I99" i="21"/>
  <c r="F99" i="21"/>
  <c r="E99" i="21"/>
  <c r="D99" i="21"/>
  <c r="K98" i="21"/>
  <c r="I98" i="21"/>
  <c r="F98" i="21"/>
  <c r="E98" i="21"/>
  <c r="D98" i="21"/>
  <c r="K97" i="21"/>
  <c r="I97" i="21"/>
  <c r="F97" i="21"/>
  <c r="E97" i="21"/>
  <c r="D97" i="21"/>
  <c r="K96" i="21"/>
  <c r="I96" i="21"/>
  <c r="F96" i="21"/>
  <c r="E96" i="21"/>
  <c r="D96" i="21"/>
  <c r="K95" i="21"/>
  <c r="I95" i="21"/>
  <c r="F95" i="21"/>
  <c r="E95" i="21"/>
  <c r="D95" i="21"/>
  <c r="K94" i="21"/>
  <c r="I94" i="21"/>
  <c r="F94" i="21"/>
  <c r="E94" i="21"/>
  <c r="D94" i="21"/>
  <c r="K93" i="21"/>
  <c r="I93" i="21"/>
  <c r="F93" i="21"/>
  <c r="E93" i="21"/>
  <c r="D93" i="21"/>
  <c r="P92" i="21"/>
  <c r="O92" i="21"/>
  <c r="N92" i="21"/>
  <c r="J92" i="21"/>
  <c r="M91" i="21"/>
  <c r="I91" i="21"/>
  <c r="L91" i="21" s="1"/>
  <c r="F91" i="21"/>
  <c r="E91" i="21"/>
  <c r="D91" i="21"/>
  <c r="M90" i="21"/>
  <c r="I90" i="21"/>
  <c r="L90" i="21" s="1"/>
  <c r="F90" i="21"/>
  <c r="E90" i="21"/>
  <c r="D90" i="21"/>
  <c r="M89" i="21"/>
  <c r="I89" i="21"/>
  <c r="L89" i="21" s="1"/>
  <c r="F89" i="21"/>
  <c r="E89" i="21"/>
  <c r="D89" i="21"/>
  <c r="M88" i="21"/>
  <c r="I88" i="21"/>
  <c r="L88" i="21" s="1"/>
  <c r="F88" i="21"/>
  <c r="E88" i="21"/>
  <c r="D88" i="21"/>
  <c r="M87" i="21"/>
  <c r="I87" i="21"/>
  <c r="L87" i="21" s="1"/>
  <c r="F87" i="21"/>
  <c r="E87" i="21"/>
  <c r="D87" i="21"/>
  <c r="M86" i="21"/>
  <c r="I86" i="21"/>
  <c r="L86" i="21" s="1"/>
  <c r="F86" i="21"/>
  <c r="E86" i="21"/>
  <c r="D86" i="21"/>
  <c r="M85" i="21"/>
  <c r="I85" i="21"/>
  <c r="L85" i="21" s="1"/>
  <c r="F85" i="21"/>
  <c r="E85" i="21"/>
  <c r="D85" i="21"/>
  <c r="M84" i="21"/>
  <c r="I84" i="21"/>
  <c r="L84" i="21" s="1"/>
  <c r="F84" i="21"/>
  <c r="E84" i="21"/>
  <c r="D84" i="21"/>
  <c r="M83" i="21"/>
  <c r="I83" i="21"/>
  <c r="L83" i="21" s="1"/>
  <c r="F83" i="21"/>
  <c r="E83" i="21"/>
  <c r="D83" i="21"/>
  <c r="M82" i="21"/>
  <c r="I82" i="21"/>
  <c r="L82" i="21" s="1"/>
  <c r="F82" i="21"/>
  <c r="E82" i="21"/>
  <c r="D82" i="21"/>
  <c r="M81" i="21"/>
  <c r="I81" i="21"/>
  <c r="L81" i="21" s="1"/>
  <c r="F81" i="21"/>
  <c r="E81" i="21"/>
  <c r="D81" i="21"/>
  <c r="M80" i="21"/>
  <c r="I80" i="21"/>
  <c r="L80" i="21" s="1"/>
  <c r="F80" i="21"/>
  <c r="E80" i="21"/>
  <c r="D80" i="21"/>
  <c r="M79" i="21"/>
  <c r="I79" i="21"/>
  <c r="L79" i="21" s="1"/>
  <c r="F79" i="21"/>
  <c r="E79" i="21"/>
  <c r="D79" i="21"/>
  <c r="M78" i="21"/>
  <c r="I78" i="21"/>
  <c r="L78" i="21" s="1"/>
  <c r="F78" i="21"/>
  <c r="E78" i="21"/>
  <c r="D78" i="21"/>
  <c r="M77" i="21"/>
  <c r="I77" i="21"/>
  <c r="L77" i="21" s="1"/>
  <c r="F77" i="21"/>
  <c r="E77" i="21"/>
  <c r="D77" i="21"/>
  <c r="M76" i="21"/>
  <c r="I76" i="21"/>
  <c r="L76" i="21" s="1"/>
  <c r="F76" i="21"/>
  <c r="E76" i="21"/>
  <c r="D76" i="21"/>
  <c r="M75" i="21"/>
  <c r="I75" i="21"/>
  <c r="L75" i="21" s="1"/>
  <c r="F75" i="21"/>
  <c r="E75" i="21"/>
  <c r="D75" i="21"/>
  <c r="M74" i="21"/>
  <c r="I74" i="21"/>
  <c r="L74" i="21" s="1"/>
  <c r="F74" i="21"/>
  <c r="E74" i="21"/>
  <c r="D74" i="21"/>
  <c r="M73" i="21"/>
  <c r="I73" i="21"/>
  <c r="L73" i="21" s="1"/>
  <c r="F73" i="21"/>
  <c r="E73" i="21"/>
  <c r="D73" i="21"/>
  <c r="M72" i="21"/>
  <c r="I72" i="21"/>
  <c r="F72" i="21"/>
  <c r="E72" i="21"/>
  <c r="D72" i="21"/>
  <c r="M71" i="21"/>
  <c r="L71" i="21"/>
  <c r="F71" i="21"/>
  <c r="E71" i="21"/>
  <c r="D71" i="21"/>
  <c r="K70" i="21"/>
  <c r="I70" i="21"/>
  <c r="F70" i="21"/>
  <c r="E70" i="21"/>
  <c r="D70" i="21"/>
  <c r="K69" i="21"/>
  <c r="I69" i="21"/>
  <c r="F69" i="21"/>
  <c r="E69" i="21"/>
  <c r="D69" i="21"/>
  <c r="M68" i="21"/>
  <c r="U68" i="21"/>
  <c r="AD68" i="21" s="1"/>
  <c r="I68" i="21"/>
  <c r="L68" i="21" s="1"/>
  <c r="F68" i="21"/>
  <c r="E68" i="21"/>
  <c r="D68" i="21"/>
  <c r="M67" i="21"/>
  <c r="L67" i="21"/>
  <c r="F67" i="21"/>
  <c r="E67" i="21"/>
  <c r="D67" i="21"/>
  <c r="M66" i="21"/>
  <c r="I66" i="21"/>
  <c r="L66" i="21" s="1"/>
  <c r="F66" i="21"/>
  <c r="E66" i="21"/>
  <c r="D66" i="21"/>
  <c r="J65" i="21"/>
  <c r="M64" i="21"/>
  <c r="L64" i="21"/>
  <c r="F64" i="21"/>
  <c r="E64" i="21"/>
  <c r="D64" i="21"/>
  <c r="K63" i="21"/>
  <c r="J63" i="21"/>
  <c r="I63" i="21"/>
  <c r="M62" i="21"/>
  <c r="I62" i="21"/>
  <c r="L62" i="21" s="1"/>
  <c r="F62" i="21"/>
  <c r="E62" i="21"/>
  <c r="D62" i="21"/>
  <c r="M61" i="21"/>
  <c r="I61" i="21"/>
  <c r="L61" i="21" s="1"/>
  <c r="F61" i="21"/>
  <c r="E61" i="21"/>
  <c r="D61" i="21"/>
  <c r="M60" i="21"/>
  <c r="I60" i="21"/>
  <c r="L60" i="21" s="1"/>
  <c r="F60" i="21"/>
  <c r="E60" i="21"/>
  <c r="D60" i="21"/>
  <c r="M59" i="21"/>
  <c r="I59" i="21"/>
  <c r="L59" i="21" s="1"/>
  <c r="F59" i="21"/>
  <c r="E59" i="21"/>
  <c r="D59" i="21"/>
  <c r="M58" i="21"/>
  <c r="I58" i="21"/>
  <c r="L58" i="21" s="1"/>
  <c r="F58" i="21"/>
  <c r="E58" i="21"/>
  <c r="D58" i="21"/>
  <c r="M57" i="21"/>
  <c r="I57" i="21"/>
  <c r="L57" i="21" s="1"/>
  <c r="F57" i="21"/>
  <c r="E57" i="21"/>
  <c r="D57" i="21"/>
  <c r="M56" i="21"/>
  <c r="I56" i="21"/>
  <c r="L56" i="21" s="1"/>
  <c r="F56" i="21"/>
  <c r="E56" i="21"/>
  <c r="D56" i="21"/>
  <c r="M55" i="21"/>
  <c r="I55" i="21"/>
  <c r="L55" i="21" s="1"/>
  <c r="F55" i="21"/>
  <c r="E55" i="21"/>
  <c r="D55" i="21"/>
  <c r="M54" i="21"/>
  <c r="I54" i="21"/>
  <c r="L54" i="21" s="1"/>
  <c r="F54" i="21"/>
  <c r="E54" i="21"/>
  <c r="D54" i="21"/>
  <c r="M53" i="21"/>
  <c r="I53" i="21"/>
  <c r="L53" i="21" s="1"/>
  <c r="F53" i="21"/>
  <c r="E53" i="21"/>
  <c r="D53" i="21"/>
  <c r="M52" i="21"/>
  <c r="I52" i="21"/>
  <c r="L52" i="21" s="1"/>
  <c r="F52" i="21"/>
  <c r="E52" i="21"/>
  <c r="D52" i="21"/>
  <c r="M51" i="21"/>
  <c r="L51" i="21"/>
  <c r="F51" i="21"/>
  <c r="E51" i="21"/>
  <c r="D51" i="21"/>
  <c r="M50" i="21"/>
  <c r="I50" i="21"/>
  <c r="L50" i="21" s="1"/>
  <c r="F50" i="21"/>
  <c r="E50" i="21"/>
  <c r="D50" i="21"/>
  <c r="M49" i="21"/>
  <c r="I49" i="21"/>
  <c r="L49" i="21" s="1"/>
  <c r="F49" i="21"/>
  <c r="E49" i="21"/>
  <c r="D49" i="21"/>
  <c r="M48" i="21"/>
  <c r="L48" i="21"/>
  <c r="F48" i="21"/>
  <c r="E48" i="21"/>
  <c r="D48" i="21"/>
  <c r="M47" i="21"/>
  <c r="I47" i="21"/>
  <c r="L47" i="21" s="1"/>
  <c r="F47" i="21"/>
  <c r="E47" i="21"/>
  <c r="D47" i="21"/>
  <c r="M46" i="21"/>
  <c r="I46" i="21"/>
  <c r="L46" i="21" s="1"/>
  <c r="F46" i="21"/>
  <c r="E46" i="21"/>
  <c r="D46" i="21"/>
  <c r="M45" i="21"/>
  <c r="I45" i="21"/>
  <c r="L45" i="21" s="1"/>
  <c r="F45" i="21"/>
  <c r="E45" i="21"/>
  <c r="D45" i="21"/>
  <c r="K44" i="21"/>
  <c r="AF44" i="21" s="1"/>
  <c r="I44" i="21"/>
  <c r="F44" i="21"/>
  <c r="E44" i="21"/>
  <c r="D44" i="21"/>
  <c r="M43" i="21"/>
  <c r="I43" i="21"/>
  <c r="F43" i="21"/>
  <c r="E43" i="21"/>
  <c r="D43" i="21"/>
  <c r="M42" i="21"/>
  <c r="I42" i="21"/>
  <c r="L42" i="21" s="1"/>
  <c r="F42" i="21"/>
  <c r="E42" i="21"/>
  <c r="D42" i="21"/>
  <c r="M41" i="21"/>
  <c r="I41" i="21"/>
  <c r="L41" i="21" s="1"/>
  <c r="F41" i="21"/>
  <c r="E41" i="21"/>
  <c r="D41" i="21"/>
  <c r="M40" i="21"/>
  <c r="I40" i="21"/>
  <c r="L40" i="21" s="1"/>
  <c r="F40" i="21"/>
  <c r="E40" i="21"/>
  <c r="D40" i="21"/>
  <c r="M39" i="21"/>
  <c r="I39" i="21"/>
  <c r="L39" i="21" s="1"/>
  <c r="F39" i="21"/>
  <c r="E39" i="21"/>
  <c r="D39" i="21"/>
  <c r="J37" i="21"/>
  <c r="M34" i="21"/>
  <c r="L34" i="21"/>
  <c r="F34" i="21"/>
  <c r="E34" i="21"/>
  <c r="D34" i="21"/>
  <c r="K33" i="21"/>
  <c r="J33" i="21"/>
  <c r="I33" i="21"/>
  <c r="M32" i="21"/>
  <c r="L32" i="21"/>
  <c r="F32" i="21"/>
  <c r="E32" i="21"/>
  <c r="D32" i="21"/>
  <c r="K31" i="21"/>
  <c r="J31" i="21"/>
  <c r="I31" i="21"/>
  <c r="M30" i="21"/>
  <c r="L30" i="21"/>
  <c r="F30" i="21"/>
  <c r="E30" i="21"/>
  <c r="D30" i="21"/>
  <c r="K29" i="21"/>
  <c r="J29" i="21"/>
  <c r="M29" i="21" s="1"/>
  <c r="I29" i="21"/>
  <c r="L29" i="21" s="1"/>
  <c r="M28" i="21"/>
  <c r="L28" i="21"/>
  <c r="F28" i="21"/>
  <c r="E28" i="21"/>
  <c r="D28" i="21"/>
  <c r="M27" i="21"/>
  <c r="L27" i="21"/>
  <c r="F27" i="21"/>
  <c r="E27" i="21"/>
  <c r="D27" i="21"/>
  <c r="K26" i="21"/>
  <c r="J26" i="21"/>
  <c r="I26" i="21"/>
  <c r="M25" i="21"/>
  <c r="L25" i="21"/>
  <c r="F25" i="21"/>
  <c r="E25" i="21"/>
  <c r="D25" i="21"/>
  <c r="M24" i="21"/>
  <c r="L24" i="21"/>
  <c r="F24" i="21"/>
  <c r="E24" i="21"/>
  <c r="D24" i="21"/>
  <c r="M23" i="21"/>
  <c r="L23" i="21"/>
  <c r="F23" i="21"/>
  <c r="E23" i="21"/>
  <c r="D23" i="21"/>
  <c r="K22" i="21"/>
  <c r="J22" i="21"/>
  <c r="I22" i="21"/>
  <c r="M21" i="21"/>
  <c r="L21" i="21"/>
  <c r="F21" i="21"/>
  <c r="E21" i="21"/>
  <c r="D21" i="21"/>
  <c r="M20" i="21"/>
  <c r="L20" i="21"/>
  <c r="F20" i="21"/>
  <c r="E20" i="21"/>
  <c r="D20" i="21"/>
  <c r="K19" i="21"/>
  <c r="J19" i="21"/>
  <c r="I19" i="21"/>
  <c r="M18" i="21"/>
  <c r="L18" i="21"/>
  <c r="F18" i="21"/>
  <c r="E18" i="21"/>
  <c r="D18" i="21"/>
  <c r="M17" i="21"/>
  <c r="L17" i="21"/>
  <c r="F17" i="21"/>
  <c r="E17" i="21"/>
  <c r="D17" i="21"/>
  <c r="K16" i="21"/>
  <c r="J16" i="21"/>
  <c r="I16" i="21"/>
  <c r="M15" i="21"/>
  <c r="L15" i="21"/>
  <c r="F15" i="21"/>
  <c r="E15" i="21"/>
  <c r="D15" i="21"/>
  <c r="M14" i="21"/>
  <c r="L14" i="21"/>
  <c r="F14" i="21"/>
  <c r="E14" i="21"/>
  <c r="D14" i="21"/>
  <c r="M13" i="21"/>
  <c r="I13" i="21"/>
  <c r="L13" i="21" s="1"/>
  <c r="F13" i="21"/>
  <c r="E13" i="21"/>
  <c r="D13" i="21"/>
  <c r="M12" i="21"/>
  <c r="I12" i="21"/>
  <c r="F12" i="21"/>
  <c r="E12" i="21"/>
  <c r="D12" i="21"/>
  <c r="M11" i="21"/>
  <c r="L11" i="21"/>
  <c r="F11" i="21"/>
  <c r="E11" i="21"/>
  <c r="D11" i="21"/>
  <c r="K10" i="21"/>
  <c r="J10" i="21"/>
  <c r="M9" i="21"/>
  <c r="L9" i="21"/>
  <c r="F9" i="21"/>
  <c r="E9" i="21"/>
  <c r="D9" i="21"/>
  <c r="M8" i="21"/>
  <c r="L8" i="21"/>
  <c r="F8" i="21"/>
  <c r="E8" i="21"/>
  <c r="D8" i="21"/>
  <c r="K7" i="21"/>
  <c r="J7" i="21"/>
  <c r="I7" i="21"/>
  <c r="G256" i="12"/>
  <c r="F256" i="12"/>
  <c r="E256" i="12"/>
  <c r="T65" i="21" l="1"/>
  <c r="AG205" i="21"/>
  <c r="AF68" i="21"/>
  <c r="T150" i="21"/>
  <c r="AA7" i="21"/>
  <c r="L70" i="21"/>
  <c r="M69" i="21"/>
  <c r="AF69" i="21"/>
  <c r="S98" i="21"/>
  <c r="S114" i="21"/>
  <c r="S117" i="21"/>
  <c r="S178" i="21"/>
  <c r="S183" i="21"/>
  <c r="S186" i="21"/>
  <c r="Z215" i="21"/>
  <c r="S227" i="21"/>
  <c r="AF143" i="21"/>
  <c r="S119" i="21"/>
  <c r="S95" i="21"/>
  <c r="S103" i="21"/>
  <c r="S111" i="21"/>
  <c r="S165" i="21"/>
  <c r="S172" i="21"/>
  <c r="S175" i="21"/>
  <c r="S185" i="21"/>
  <c r="AF219" i="21"/>
  <c r="S188" i="21"/>
  <c r="U63" i="21"/>
  <c r="AD64" i="21"/>
  <c r="AD121" i="21"/>
  <c r="AF121" i="21" s="1"/>
  <c r="AF122" i="21"/>
  <c r="AF156" i="21"/>
  <c r="S171" i="21"/>
  <c r="S177" i="21"/>
  <c r="S182" i="21"/>
  <c r="AF39" i="21"/>
  <c r="AD37" i="21"/>
  <c r="AF66" i="21"/>
  <c r="AF133" i="21"/>
  <c r="AD197" i="21"/>
  <c r="AF198" i="21"/>
  <c r="AF207" i="21"/>
  <c r="AF223" i="21"/>
  <c r="AD222" i="21"/>
  <c r="AF222" i="21" s="1"/>
  <c r="S113" i="21"/>
  <c r="S94" i="21"/>
  <c r="S110" i="21"/>
  <c r="S164" i="21"/>
  <c r="S167" i="21"/>
  <c r="S174" i="21"/>
  <c r="S217" i="21"/>
  <c r="S97" i="21"/>
  <c r="AF97" i="21"/>
  <c r="S105" i="21"/>
  <c r="S99" i="21"/>
  <c r="S107" i="21"/>
  <c r="S115" i="21"/>
  <c r="S118" i="21"/>
  <c r="S170" i="21"/>
  <c r="S179" i="21"/>
  <c r="S184" i="21"/>
  <c r="S187" i="21"/>
  <c r="K192" i="21"/>
  <c r="AF192" i="21" s="1"/>
  <c r="AF193" i="21"/>
  <c r="S100" i="21"/>
  <c r="S108" i="21"/>
  <c r="S116" i="21"/>
  <c r="S96" i="21"/>
  <c r="S104" i="21"/>
  <c r="S112" i="21"/>
  <c r="S166" i="21"/>
  <c r="S173" i="21"/>
  <c r="S176" i="21"/>
  <c r="S180" i="21"/>
  <c r="S93" i="21"/>
  <c r="S101" i="21"/>
  <c r="S109" i="21"/>
  <c r="S120" i="21"/>
  <c r="S169" i="21"/>
  <c r="Z228" i="21"/>
  <c r="S228" i="21"/>
  <c r="Z106" i="21"/>
  <c r="S106" i="21"/>
  <c r="Z102" i="21"/>
  <c r="S102" i="21"/>
  <c r="K127" i="21"/>
  <c r="Z128" i="21"/>
  <c r="Z127" i="21" s="1"/>
  <c r="K150" i="21"/>
  <c r="U69" i="21"/>
  <c r="Z69" i="21"/>
  <c r="K65" i="21"/>
  <c r="Y35" i="21"/>
  <c r="L44" i="21"/>
  <c r="M70" i="21"/>
  <c r="Z70" i="21"/>
  <c r="L154" i="21"/>
  <c r="U152" i="21"/>
  <c r="AD152" i="21" s="1"/>
  <c r="AF152" i="21" s="1"/>
  <c r="Z152" i="21"/>
  <c r="M212" i="21"/>
  <c r="Z212" i="21"/>
  <c r="Z205" i="21" s="1"/>
  <c r="M44" i="21"/>
  <c r="Z44" i="21"/>
  <c r="Z37" i="21" s="1"/>
  <c r="U154" i="21"/>
  <c r="AD154" i="21" s="1"/>
  <c r="AF154" i="21" s="1"/>
  <c r="Z154" i="21"/>
  <c r="K218" i="21"/>
  <c r="Z221" i="21"/>
  <c r="Z218" i="21" s="1"/>
  <c r="U141" i="21"/>
  <c r="Z141" i="21"/>
  <c r="Z138" i="21" s="1"/>
  <c r="U166" i="21"/>
  <c r="AD166" i="21" s="1"/>
  <c r="AF166" i="21" s="1"/>
  <c r="Z166" i="21"/>
  <c r="U173" i="21"/>
  <c r="AD173" i="21" s="1"/>
  <c r="AF173" i="21" s="1"/>
  <c r="Z173" i="21"/>
  <c r="M176" i="21"/>
  <c r="Z176" i="21"/>
  <c r="U216" i="21"/>
  <c r="AD216" i="21" s="1"/>
  <c r="AF216" i="21" s="1"/>
  <c r="Z216" i="21"/>
  <c r="U184" i="21"/>
  <c r="AD184" i="21" s="1"/>
  <c r="AF184" i="21" s="1"/>
  <c r="Z184" i="21"/>
  <c r="M187" i="21"/>
  <c r="Z187" i="21"/>
  <c r="M114" i="21"/>
  <c r="Z114" i="21"/>
  <c r="M117" i="21"/>
  <c r="Z117" i="21"/>
  <c r="U169" i="21"/>
  <c r="AD169" i="21" s="1"/>
  <c r="AF169" i="21" s="1"/>
  <c r="Z169" i="21"/>
  <c r="M109" i="21"/>
  <c r="Z109" i="21"/>
  <c r="M100" i="21"/>
  <c r="Z100" i="21"/>
  <c r="M108" i="21"/>
  <c r="Z108" i="21"/>
  <c r="U116" i="21"/>
  <c r="AD116" i="21" s="1"/>
  <c r="AF116" i="21" s="1"/>
  <c r="Z116" i="21"/>
  <c r="M119" i="21"/>
  <c r="Z119" i="21"/>
  <c r="M178" i="21"/>
  <c r="Z178" i="21"/>
  <c r="M183" i="21"/>
  <c r="Z183" i="21"/>
  <c r="M186" i="21"/>
  <c r="Z186" i="21"/>
  <c r="U227" i="21"/>
  <c r="AD227" i="21" s="1"/>
  <c r="AD226" i="21" s="1"/>
  <c r="Z227" i="21"/>
  <c r="Z226" i="21" s="1"/>
  <c r="M98" i="21"/>
  <c r="Z98" i="21"/>
  <c r="M97" i="21"/>
  <c r="Z97" i="21"/>
  <c r="M105" i="21"/>
  <c r="Z105" i="21"/>
  <c r="M113" i="21"/>
  <c r="Z113" i="21"/>
  <c r="M165" i="21"/>
  <c r="Z165" i="21"/>
  <c r="M172" i="21"/>
  <c r="Z172" i="21"/>
  <c r="M175" i="21"/>
  <c r="Z175" i="21"/>
  <c r="U185" i="21"/>
  <c r="AD185" i="21" s="1"/>
  <c r="AF185" i="21" s="1"/>
  <c r="Z185" i="21"/>
  <c r="U179" i="21"/>
  <c r="AD179" i="21" s="1"/>
  <c r="AF179" i="21" s="1"/>
  <c r="Z179" i="21"/>
  <c r="M103" i="21"/>
  <c r="Z103" i="21"/>
  <c r="M111" i="21"/>
  <c r="Z111" i="21"/>
  <c r="M110" i="21"/>
  <c r="Z110" i="21"/>
  <c r="U180" i="21"/>
  <c r="AD180" i="21" s="1"/>
  <c r="AF180" i="21" s="1"/>
  <c r="Z180" i="21"/>
  <c r="M188" i="21"/>
  <c r="Z188" i="21"/>
  <c r="U170" i="21"/>
  <c r="AD170" i="21" s="1"/>
  <c r="AF170" i="21" s="1"/>
  <c r="Z170" i="21"/>
  <c r="U95" i="21"/>
  <c r="AD95" i="21" s="1"/>
  <c r="AF95" i="21" s="1"/>
  <c r="Z95" i="21"/>
  <c r="U94" i="21"/>
  <c r="AD94" i="21" s="1"/>
  <c r="AF94" i="21" s="1"/>
  <c r="Z94" i="21"/>
  <c r="M99" i="21"/>
  <c r="Z99" i="21"/>
  <c r="U107" i="21"/>
  <c r="AD107" i="21" s="1"/>
  <c r="AF107" i="21" s="1"/>
  <c r="Z107" i="21"/>
  <c r="M115" i="21"/>
  <c r="Z115" i="21"/>
  <c r="U118" i="21"/>
  <c r="AD118" i="21" s="1"/>
  <c r="AF118" i="21" s="1"/>
  <c r="Z118" i="21"/>
  <c r="U171" i="21"/>
  <c r="AD171" i="21" s="1"/>
  <c r="AF171" i="21" s="1"/>
  <c r="Z171" i="21"/>
  <c r="M177" i="21"/>
  <c r="Z177" i="21"/>
  <c r="M182" i="21"/>
  <c r="Z182" i="21"/>
  <c r="M93" i="21"/>
  <c r="Z93" i="21"/>
  <c r="M101" i="21"/>
  <c r="Z101" i="21"/>
  <c r="M120" i="21"/>
  <c r="Z120" i="21"/>
  <c r="M96" i="21"/>
  <c r="Z96" i="21"/>
  <c r="M104" i="21"/>
  <c r="Z104" i="21"/>
  <c r="M112" i="21"/>
  <c r="Z112" i="21"/>
  <c r="M164" i="21"/>
  <c r="Z164" i="21"/>
  <c r="U167" i="21"/>
  <c r="AD167" i="21" s="1"/>
  <c r="AF167" i="21" s="1"/>
  <c r="Z167" i="21"/>
  <c r="M174" i="21"/>
  <c r="Z174" i="21"/>
  <c r="M217" i="21"/>
  <c r="Z217" i="21"/>
  <c r="U222" i="21"/>
  <c r="M26" i="21"/>
  <c r="L115" i="21"/>
  <c r="L169" i="21"/>
  <c r="U193" i="21"/>
  <c r="U192" i="21" s="1"/>
  <c r="L171" i="21"/>
  <c r="U121" i="21"/>
  <c r="L98" i="21"/>
  <c r="L43" i="21"/>
  <c r="U128" i="21"/>
  <c r="U43" i="21"/>
  <c r="U97" i="21"/>
  <c r="M154" i="21"/>
  <c r="U44" i="21"/>
  <c r="U105" i="21"/>
  <c r="AD105" i="21" s="1"/>
  <c r="AF105" i="21" s="1"/>
  <c r="U221" i="21"/>
  <c r="U70" i="21"/>
  <c r="AD70" i="21" s="1"/>
  <c r="AF70" i="21" s="1"/>
  <c r="L152" i="21"/>
  <c r="L69" i="21"/>
  <c r="L109" i="21"/>
  <c r="L165" i="21"/>
  <c r="L212" i="21"/>
  <c r="U186" i="21"/>
  <c r="AD186" i="21" s="1"/>
  <c r="AF186" i="21" s="1"/>
  <c r="U212" i="21"/>
  <c r="L19" i="21"/>
  <c r="M10" i="21"/>
  <c r="J36" i="21"/>
  <c r="L178" i="21"/>
  <c r="U113" i="21"/>
  <c r="AD113" i="21" s="1"/>
  <c r="AF113" i="21" s="1"/>
  <c r="M107" i="21"/>
  <c r="L31" i="21"/>
  <c r="L100" i="21"/>
  <c r="L114" i="21"/>
  <c r="L117" i="21"/>
  <c r="L108" i="21"/>
  <c r="L111" i="21"/>
  <c r="M19" i="21"/>
  <c r="M138" i="21"/>
  <c r="L167" i="21"/>
  <c r="L217" i="21"/>
  <c r="L107" i="21"/>
  <c r="U177" i="21"/>
  <c r="AD177" i="21" s="1"/>
  <c r="AF177" i="21" s="1"/>
  <c r="M63" i="21"/>
  <c r="M121" i="21"/>
  <c r="L179" i="21"/>
  <c r="K214" i="21"/>
  <c r="U96" i="21"/>
  <c r="AD96" i="21" s="1"/>
  <c r="AF96" i="21" s="1"/>
  <c r="U104" i="21"/>
  <c r="AD104" i="21" s="1"/>
  <c r="AF104" i="21" s="1"/>
  <c r="U112" i="21"/>
  <c r="AD112" i="21" s="1"/>
  <c r="AF112" i="21" s="1"/>
  <c r="U120" i="21"/>
  <c r="AD120" i="21" s="1"/>
  <c r="AF120" i="21" s="1"/>
  <c r="U176" i="21"/>
  <c r="AD176" i="21" s="1"/>
  <c r="AF176" i="21" s="1"/>
  <c r="L95" i="21"/>
  <c r="L106" i="21"/>
  <c r="L128" i="21"/>
  <c r="M179" i="21"/>
  <c r="M229" i="21"/>
  <c r="U98" i="21"/>
  <c r="AD98" i="21" s="1"/>
  <c r="U106" i="21"/>
  <c r="AD106" i="21" s="1"/>
  <c r="AF106" i="21" s="1"/>
  <c r="U114" i="21"/>
  <c r="AD114" i="21" s="1"/>
  <c r="AF114" i="21" s="1"/>
  <c r="U178" i="21"/>
  <c r="AD178" i="21" s="1"/>
  <c r="AF178" i="21" s="1"/>
  <c r="U187" i="21"/>
  <c r="AD187" i="21" s="1"/>
  <c r="AF187" i="21" s="1"/>
  <c r="I10" i="21"/>
  <c r="L10" i="21" s="1"/>
  <c r="M95" i="21"/>
  <c r="I121" i="21"/>
  <c r="L121" i="21" s="1"/>
  <c r="U99" i="21"/>
  <c r="AD99" i="21" s="1"/>
  <c r="AF99" i="21" s="1"/>
  <c r="U115" i="21"/>
  <c r="AD115" i="21" s="1"/>
  <c r="AF115" i="21" s="1"/>
  <c r="U188" i="21"/>
  <c r="AD188" i="21" s="1"/>
  <c r="AF188" i="21" s="1"/>
  <c r="M184" i="21"/>
  <c r="U100" i="21"/>
  <c r="AD100" i="21" s="1"/>
  <c r="AF100" i="21" s="1"/>
  <c r="U108" i="21"/>
  <c r="AD108" i="21" s="1"/>
  <c r="AF108" i="21" s="1"/>
  <c r="U164" i="21"/>
  <c r="AD164" i="21" s="1"/>
  <c r="AF164" i="21" s="1"/>
  <c r="U172" i="21"/>
  <c r="AD172" i="21" s="1"/>
  <c r="AF172" i="21" s="1"/>
  <c r="L26" i="21"/>
  <c r="L16" i="21"/>
  <c r="M7" i="21"/>
  <c r="M16" i="21"/>
  <c r="U93" i="21"/>
  <c r="AD93" i="21" s="1"/>
  <c r="AF93" i="21" s="1"/>
  <c r="U101" i="21"/>
  <c r="AD101" i="21" s="1"/>
  <c r="AF101" i="21" s="1"/>
  <c r="U109" i="21"/>
  <c r="AD109" i="21" s="1"/>
  <c r="AF109" i="21" s="1"/>
  <c r="U117" i="21"/>
  <c r="AD117" i="21" s="1"/>
  <c r="AF117" i="21" s="1"/>
  <c r="U165" i="21"/>
  <c r="AD165" i="21" s="1"/>
  <c r="AF165" i="21" s="1"/>
  <c r="U182" i="21"/>
  <c r="AD182" i="21" s="1"/>
  <c r="AF182" i="21" s="1"/>
  <c r="U215" i="21"/>
  <c r="AD215" i="21" s="1"/>
  <c r="AF215" i="21" s="1"/>
  <c r="L22" i="21"/>
  <c r="L102" i="21"/>
  <c r="U102" i="21"/>
  <c r="U110" i="21"/>
  <c r="AD110" i="21" s="1"/>
  <c r="AF110" i="21" s="1"/>
  <c r="U174" i="21"/>
  <c r="AD174" i="21" s="1"/>
  <c r="AF174" i="21" s="1"/>
  <c r="U183" i="21"/>
  <c r="AD183" i="21" s="1"/>
  <c r="AF183" i="21" s="1"/>
  <c r="U197" i="21"/>
  <c r="M22" i="21"/>
  <c r="M33" i="21"/>
  <c r="L63" i="21"/>
  <c r="L96" i="21"/>
  <c r="M167" i="21"/>
  <c r="M197" i="21"/>
  <c r="K226" i="21"/>
  <c r="U103" i="21"/>
  <c r="AD103" i="21" s="1"/>
  <c r="AF103" i="21" s="1"/>
  <c r="U111" i="21"/>
  <c r="AD111" i="21" s="1"/>
  <c r="AF111" i="21" s="1"/>
  <c r="U119" i="21"/>
  <c r="AD119" i="21" s="1"/>
  <c r="AF119" i="21" s="1"/>
  <c r="U175" i="21"/>
  <c r="AD175" i="21" s="1"/>
  <c r="AF175" i="21" s="1"/>
  <c r="U217" i="21"/>
  <c r="AD217" i="21" s="1"/>
  <c r="AF217" i="21" s="1"/>
  <c r="U228" i="21"/>
  <c r="T196" i="21"/>
  <c r="T137" i="21"/>
  <c r="T6" i="21"/>
  <c r="U6" i="21"/>
  <c r="T36" i="21"/>
  <c r="L166" i="21"/>
  <c r="L175" i="21"/>
  <c r="L193" i="21"/>
  <c r="L7" i="21"/>
  <c r="L94" i="21"/>
  <c r="L101" i="21"/>
  <c r="M106" i="21"/>
  <c r="L123" i="21"/>
  <c r="L174" i="21"/>
  <c r="L188" i="21"/>
  <c r="L104" i="21"/>
  <c r="L112" i="21"/>
  <c r="I150" i="21"/>
  <c r="I205" i="21"/>
  <c r="L205" i="21" s="1"/>
  <c r="J6" i="21"/>
  <c r="I65" i="21"/>
  <c r="I92" i="21"/>
  <c r="L141" i="21"/>
  <c r="J196" i="21"/>
  <c r="M205" i="21"/>
  <c r="L228" i="21"/>
  <c r="I138" i="21"/>
  <c r="L138" i="21" s="1"/>
  <c r="L216" i="21"/>
  <c r="M228" i="21"/>
  <c r="L164" i="21"/>
  <c r="L176" i="21"/>
  <c r="L33" i="21"/>
  <c r="L99" i="21"/>
  <c r="L118" i="21"/>
  <c r="I181" i="21"/>
  <c r="M193" i="21"/>
  <c r="I214" i="21"/>
  <c r="M31" i="21"/>
  <c r="L93" i="21"/>
  <c r="M94" i="21"/>
  <c r="M102" i="21"/>
  <c r="M118" i="21"/>
  <c r="K37" i="21"/>
  <c r="L97" i="21"/>
  <c r="L113" i="21"/>
  <c r="K92" i="21"/>
  <c r="M128" i="21"/>
  <c r="M141" i="21"/>
  <c r="I163" i="21"/>
  <c r="K181" i="21"/>
  <c r="K6" i="21"/>
  <c r="L12" i="21"/>
  <c r="L72" i="21"/>
  <c r="L139" i="21"/>
  <c r="K163" i="21"/>
  <c r="L215" i="21"/>
  <c r="L190" i="21"/>
  <c r="J192" i="21"/>
  <c r="I197" i="21"/>
  <c r="L208" i="21"/>
  <c r="I37" i="21"/>
  <c r="I127" i="21"/>
  <c r="J137" i="21"/>
  <c r="L186" i="21"/>
  <c r="M190" i="21"/>
  <c r="H9" i="20"/>
  <c r="AG65" i="21" l="1"/>
  <c r="AF98" i="21"/>
  <c r="L192" i="21"/>
  <c r="Z214" i="21"/>
  <c r="Z196" i="21" s="1"/>
  <c r="M192" i="21"/>
  <c r="AD150" i="21"/>
  <c r="AF150" i="21" s="1"/>
  <c r="S181" i="21"/>
  <c r="M214" i="21"/>
  <c r="U138" i="21"/>
  <c r="AD141" i="21"/>
  <c r="M65" i="21"/>
  <c r="AF197" i="21"/>
  <c r="U205" i="21"/>
  <c r="AD212" i="21"/>
  <c r="U218" i="21"/>
  <c r="AD221" i="21"/>
  <c r="M163" i="21"/>
  <c r="M92" i="21"/>
  <c r="AD92" i="21"/>
  <c r="AF92" i="21" s="1"/>
  <c r="AD63" i="21"/>
  <c r="AF63" i="21" s="1"/>
  <c r="AF64" i="21"/>
  <c r="M218" i="21"/>
  <c r="S226" i="21"/>
  <c r="AD214" i="21"/>
  <c r="AF214" i="21" s="1"/>
  <c r="M150" i="21"/>
  <c r="AD65" i="21"/>
  <c r="AF65" i="21" s="1"/>
  <c r="S214" i="21"/>
  <c r="AF37" i="21"/>
  <c r="AD181" i="21"/>
  <c r="AF181" i="21" s="1"/>
  <c r="S163" i="21"/>
  <c r="AF227" i="21"/>
  <c r="M226" i="21"/>
  <c r="AF226" i="21"/>
  <c r="AD163" i="21"/>
  <c r="AF163" i="21" s="1"/>
  <c r="U127" i="21"/>
  <c r="AD128" i="21"/>
  <c r="M127" i="21"/>
  <c r="L127" i="21"/>
  <c r="S92" i="21"/>
  <c r="S36" i="21" s="1"/>
  <c r="L65" i="21"/>
  <c r="L150" i="21"/>
  <c r="U150" i="21"/>
  <c r="L218" i="21"/>
  <c r="U226" i="21"/>
  <c r="U65" i="21"/>
  <c r="Z150" i="21"/>
  <c r="Z65" i="21"/>
  <c r="Z92" i="21"/>
  <c r="Z163" i="21"/>
  <c r="Z181" i="21"/>
  <c r="U37" i="21"/>
  <c r="X37" i="21" s="1"/>
  <c r="M6" i="21"/>
  <c r="I6" i="21"/>
  <c r="L6" i="21" s="1"/>
  <c r="U181" i="21"/>
  <c r="L214" i="21"/>
  <c r="U92" i="21"/>
  <c r="U214" i="21"/>
  <c r="K196" i="21"/>
  <c r="U163" i="21"/>
  <c r="J35" i="21"/>
  <c r="L226" i="21"/>
  <c r="T35" i="21"/>
  <c r="L181" i="21"/>
  <c r="M181" i="21"/>
  <c r="K36" i="21"/>
  <c r="M37" i="21"/>
  <c r="L163" i="21"/>
  <c r="K137" i="21"/>
  <c r="I137" i="21"/>
  <c r="L37" i="21"/>
  <c r="I36" i="21"/>
  <c r="L92" i="21"/>
  <c r="L197" i="21"/>
  <c r="I196" i="21"/>
  <c r="F5" i="20"/>
  <c r="F6" i="20" s="1"/>
  <c r="F11" i="20"/>
  <c r="F12" i="20" s="1"/>
  <c r="E17" i="20"/>
  <c r="S137" i="21" l="1"/>
  <c r="S196" i="21"/>
  <c r="AF128" i="21"/>
  <c r="AD127" i="21"/>
  <c r="M137" i="21"/>
  <c r="AF221" i="21"/>
  <c r="AD218" i="21"/>
  <c r="AF218" i="21" s="1"/>
  <c r="AF141" i="21"/>
  <c r="AD138" i="21"/>
  <c r="M196" i="21"/>
  <c r="AF212" i="21"/>
  <c r="AD205" i="21"/>
  <c r="U196" i="21"/>
  <c r="Z36" i="21"/>
  <c r="Z137" i="21"/>
  <c r="L137" i="21"/>
  <c r="U137" i="21"/>
  <c r="U36" i="21"/>
  <c r="X36" i="21" s="1"/>
  <c r="L196" i="21"/>
  <c r="I35" i="21"/>
  <c r="L36" i="21"/>
  <c r="K35" i="21"/>
  <c r="M36" i="21"/>
  <c r="S35" i="21" l="1"/>
  <c r="M35" i="21"/>
  <c r="AF205" i="21"/>
  <c r="AD196" i="21"/>
  <c r="AF196" i="21" s="1"/>
  <c r="AD36" i="21"/>
  <c r="AF127" i="21"/>
  <c r="AD137" i="21"/>
  <c r="AF137" i="21" s="1"/>
  <c r="AF138" i="21"/>
  <c r="Z35" i="21"/>
  <c r="Z2" i="21" s="1"/>
  <c r="U35" i="21"/>
  <c r="X35" i="21" s="1"/>
  <c r="L35" i="21"/>
  <c r="AG92" i="21" l="1"/>
  <c r="AG36" i="21" s="1"/>
  <c r="AD35" i="21"/>
  <c r="AF35" i="21" s="1"/>
  <c r="AF36" i="21"/>
  <c r="D205" i="18"/>
  <c r="K12" i="18"/>
  <c r="AF33" i="21" l="1"/>
  <c r="E7" i="17"/>
  <c r="C15" i="17" l="1"/>
  <c r="D15" i="17"/>
  <c r="D7" i="17"/>
  <c r="H12" i="18" l="1"/>
  <c r="H19" i="18"/>
  <c r="E215" i="18"/>
  <c r="E214" i="18"/>
  <c r="E213" i="18"/>
  <c r="E212" i="18"/>
  <c r="E210" i="18"/>
  <c r="E209" i="18"/>
  <c r="E208" i="18"/>
  <c r="E206" i="18"/>
  <c r="E205" i="18"/>
  <c r="C205" i="18"/>
  <c r="E203" i="18"/>
  <c r="E200" i="18"/>
  <c r="E199" i="18"/>
  <c r="E198" i="18"/>
  <c r="E197" i="18"/>
  <c r="E196" i="18"/>
  <c r="E195" i="18"/>
  <c r="D193" i="18"/>
  <c r="E193" i="18" s="1"/>
  <c r="C193" i="18"/>
  <c r="C192" i="18" s="1"/>
  <c r="E191" i="18"/>
  <c r="E189" i="18"/>
  <c r="E188" i="18"/>
  <c r="E187" i="18"/>
  <c r="E186" i="18"/>
  <c r="E185" i="18"/>
  <c r="E184" i="18"/>
  <c r="E183" i="18"/>
  <c r="E182" i="18"/>
  <c r="E181" i="18"/>
  <c r="E180" i="18"/>
  <c r="E179" i="18"/>
  <c r="E178" i="18"/>
  <c r="E177" i="18"/>
  <c r="E176" i="18"/>
  <c r="E175" i="18"/>
  <c r="E174" i="18"/>
  <c r="E173" i="18"/>
  <c r="E172" i="18"/>
  <c r="E171" i="18"/>
  <c r="E170" i="18"/>
  <c r="E169" i="18"/>
  <c r="E168" i="18"/>
  <c r="E167" i="18"/>
  <c r="E166" i="18"/>
  <c r="E165" i="18"/>
  <c r="E164" i="18"/>
  <c r="E163" i="18"/>
  <c r="E161" i="18"/>
  <c r="E160" i="18"/>
  <c r="E159" i="18"/>
  <c r="E158" i="18"/>
  <c r="E157" i="18"/>
  <c r="E156" i="18"/>
  <c r="E155" i="18"/>
  <c r="E154" i="18"/>
  <c r="E153" i="18"/>
  <c r="E152" i="18"/>
  <c r="E151" i="18"/>
  <c r="E150" i="18"/>
  <c r="D149" i="18"/>
  <c r="E149" i="18" s="1"/>
  <c r="E147" i="18"/>
  <c r="E145" i="18"/>
  <c r="E144" i="18"/>
  <c r="E143" i="18"/>
  <c r="E140" i="18"/>
  <c r="E139" i="18"/>
  <c r="D137" i="18"/>
  <c r="E137" i="18" s="1"/>
  <c r="C136" i="18"/>
  <c r="E135" i="18"/>
  <c r="E134" i="18"/>
  <c r="E133" i="18"/>
  <c r="E132" i="18"/>
  <c r="E131" i="18"/>
  <c r="E130" i="18"/>
  <c r="E129" i="18"/>
  <c r="E128" i="18"/>
  <c r="E127" i="18"/>
  <c r="E126" i="18"/>
  <c r="E125" i="18"/>
  <c r="E124" i="18"/>
  <c r="E123" i="18"/>
  <c r="E122" i="18"/>
  <c r="E121" i="18"/>
  <c r="E119" i="18"/>
  <c r="E118" i="18"/>
  <c r="E117" i="18"/>
  <c r="E116" i="18"/>
  <c r="E115" i="18"/>
  <c r="E114" i="18"/>
  <c r="E113" i="18"/>
  <c r="E112" i="18"/>
  <c r="E111" i="18"/>
  <c r="E110" i="18"/>
  <c r="E109" i="18"/>
  <c r="E108" i="18"/>
  <c r="E107" i="18"/>
  <c r="E106" i="18"/>
  <c r="E105" i="18"/>
  <c r="E104" i="18"/>
  <c r="E103" i="18"/>
  <c r="E102" i="18"/>
  <c r="E101" i="18"/>
  <c r="E100" i="18"/>
  <c r="E99" i="18"/>
  <c r="E98" i="18"/>
  <c r="E97" i="18"/>
  <c r="D96" i="18"/>
  <c r="E96" i="18" s="1"/>
  <c r="E95" i="18"/>
  <c r="E94" i="18"/>
  <c r="E93" i="18"/>
  <c r="E92" i="18"/>
  <c r="E91" i="18"/>
  <c r="E90" i="18"/>
  <c r="E89" i="18"/>
  <c r="E87" i="18"/>
  <c r="E86" i="18"/>
  <c r="E85" i="18"/>
  <c r="E84" i="18"/>
  <c r="E83" i="18"/>
  <c r="E82" i="18"/>
  <c r="E81" i="18"/>
  <c r="E80" i="18"/>
  <c r="E79" i="18"/>
  <c r="E78" i="18"/>
  <c r="E77" i="18"/>
  <c r="E76" i="18"/>
  <c r="E75" i="18"/>
  <c r="E74" i="18"/>
  <c r="E73" i="18"/>
  <c r="E71" i="18"/>
  <c r="D70" i="18"/>
  <c r="E70" i="18" s="1"/>
  <c r="E69" i="18"/>
  <c r="E68" i="18"/>
  <c r="E66" i="18"/>
  <c r="E65" i="18"/>
  <c r="E63" i="18"/>
  <c r="E62" i="18"/>
  <c r="E61" i="18"/>
  <c r="E60" i="18"/>
  <c r="E59" i="18"/>
  <c r="E58" i="18"/>
  <c r="E57" i="18"/>
  <c r="E56" i="18"/>
  <c r="E55" i="18"/>
  <c r="E54" i="18"/>
  <c r="E53" i="18"/>
  <c r="E52" i="18"/>
  <c r="E51" i="18"/>
  <c r="E50" i="18"/>
  <c r="E49" i="18"/>
  <c r="E48" i="18"/>
  <c r="E47" i="18"/>
  <c r="E46" i="18"/>
  <c r="D45" i="18"/>
  <c r="E45" i="18" s="1"/>
  <c r="D44" i="18"/>
  <c r="C44" i="18"/>
  <c r="E42" i="18"/>
  <c r="E41" i="18"/>
  <c r="E40" i="18"/>
  <c r="E39" i="18"/>
  <c r="E38" i="18"/>
  <c r="E35" i="18"/>
  <c r="E34" i="18"/>
  <c r="E33" i="18"/>
  <c r="E32" i="18"/>
  <c r="E31" i="18"/>
  <c r="E30" i="18"/>
  <c r="E29" i="18"/>
  <c r="E28" i="18"/>
  <c r="E27" i="18"/>
  <c r="E26" i="18"/>
  <c r="E25" i="18"/>
  <c r="E23" i="18"/>
  <c r="E22" i="18"/>
  <c r="E20" i="18"/>
  <c r="C19" i="18"/>
  <c r="E19" i="18" s="1"/>
  <c r="E18" i="18"/>
  <c r="E17" i="18"/>
  <c r="D16" i="18"/>
  <c r="D15" i="18" s="1"/>
  <c r="C16" i="18"/>
  <c r="C15" i="18" s="1"/>
  <c r="C14" i="18" s="1"/>
  <c r="C13" i="18" s="1"/>
  <c r="C12" i="18" s="1"/>
  <c r="C43" i="18" l="1"/>
  <c r="E43" i="18" s="1"/>
  <c r="E15" i="18"/>
  <c r="D14" i="18"/>
  <c r="E14" i="18" s="1"/>
  <c r="E44" i="18"/>
  <c r="E16" i="18"/>
  <c r="D192" i="18"/>
  <c r="E192" i="18" s="1"/>
  <c r="D13" i="18"/>
  <c r="D136" i="18"/>
  <c r="E136" i="18" s="1"/>
  <c r="F17" i="14"/>
  <c r="E17" i="14"/>
  <c r="E16" i="14"/>
  <c r="E15" i="14"/>
  <c r="E14" i="14"/>
  <c r="E13" i="14"/>
  <c r="E12" i="14"/>
  <c r="F10" i="14"/>
  <c r="E10" i="14"/>
  <c r="F9" i="14"/>
  <c r="E9" i="14"/>
  <c r="F8" i="14"/>
  <c r="E8" i="14"/>
  <c r="D17" i="14"/>
  <c r="C17" i="14"/>
  <c r="D16" i="14"/>
  <c r="C16" i="14"/>
  <c r="D15" i="14"/>
  <c r="C15" i="14"/>
  <c r="D14" i="14"/>
  <c r="C14" i="14"/>
  <c r="D13" i="14"/>
  <c r="C13" i="14"/>
  <c r="D12" i="14"/>
  <c r="C12" i="14"/>
  <c r="D10" i="14"/>
  <c r="C10" i="14"/>
  <c r="D9" i="14"/>
  <c r="C9" i="14"/>
  <c r="D8" i="14"/>
  <c r="C8" i="14"/>
  <c r="G15" i="14" l="1"/>
  <c r="G17" i="14"/>
  <c r="G10" i="14"/>
  <c r="G8" i="14"/>
  <c r="C7" i="17"/>
  <c r="G9" i="14"/>
  <c r="E13" i="18"/>
  <c r="D12" i="18"/>
  <c r="E12" i="18" s="1"/>
  <c r="D6" i="17"/>
  <c r="E6" i="17"/>
  <c r="E7" i="14"/>
  <c r="D7" i="14"/>
  <c r="C7" i="14"/>
  <c r="C6" i="17" l="1"/>
  <c r="D14" i="17"/>
  <c r="C14" i="17"/>
  <c r="G40" i="12" l="1"/>
  <c r="F40" i="12"/>
  <c r="E40" i="12"/>
  <c r="G38" i="12"/>
  <c r="F38" i="12"/>
  <c r="E38" i="12"/>
  <c r="G33" i="12"/>
  <c r="F33" i="12"/>
  <c r="E33" i="12"/>
  <c r="G32" i="12"/>
  <c r="F32" i="12"/>
  <c r="E32" i="12"/>
  <c r="G30" i="12"/>
  <c r="F30" i="12"/>
  <c r="E30" i="12"/>
  <c r="G29" i="12"/>
  <c r="F29" i="12"/>
  <c r="E29" i="12"/>
  <c r="G28" i="12"/>
  <c r="F28" i="12"/>
  <c r="E28" i="12"/>
  <c r="G26" i="12"/>
  <c r="F26" i="12"/>
  <c r="E26" i="12"/>
  <c r="G25" i="12"/>
  <c r="F25" i="12"/>
  <c r="E25" i="12"/>
  <c r="G18" i="12"/>
  <c r="F18" i="12"/>
  <c r="E18" i="12"/>
  <c r="G17" i="12"/>
  <c r="F17" i="12"/>
  <c r="E17" i="12"/>
  <c r="G14" i="12"/>
  <c r="F14" i="12"/>
  <c r="E14" i="12"/>
  <c r="G15" i="12"/>
  <c r="F15" i="12"/>
  <c r="E15" i="12"/>
  <c r="G13" i="12"/>
  <c r="F13" i="12"/>
  <c r="E13" i="12"/>
  <c r="G12" i="12"/>
  <c r="F12" i="12"/>
  <c r="E12" i="12"/>
  <c r="G11" i="12"/>
  <c r="F11" i="12"/>
  <c r="E11" i="12"/>
  <c r="G9" i="12"/>
  <c r="F9" i="12"/>
  <c r="E9" i="12"/>
  <c r="G8" i="12"/>
  <c r="F8" i="12"/>
  <c r="E8" i="12"/>
  <c r="G266" i="12"/>
  <c r="F266" i="12"/>
  <c r="E266" i="12"/>
  <c r="G264" i="12"/>
  <c r="F264" i="12"/>
  <c r="E264" i="12"/>
  <c r="G263" i="12"/>
  <c r="F263" i="12"/>
  <c r="E263" i="12"/>
  <c r="P262" i="12"/>
  <c r="O262" i="12"/>
  <c r="G261" i="12"/>
  <c r="F261" i="12"/>
  <c r="E261" i="12"/>
  <c r="G260" i="12"/>
  <c r="F260" i="12"/>
  <c r="E260" i="12"/>
  <c r="G259" i="12"/>
  <c r="F259" i="12"/>
  <c r="E259" i="12"/>
  <c r="G257" i="12"/>
  <c r="F257" i="12"/>
  <c r="E257" i="12"/>
  <c r="G255" i="12"/>
  <c r="F255" i="12"/>
  <c r="E255" i="12"/>
  <c r="G253" i="12"/>
  <c r="F253" i="12"/>
  <c r="E253" i="12"/>
  <c r="G252" i="12"/>
  <c r="F252" i="12"/>
  <c r="E252" i="12"/>
  <c r="G251" i="12"/>
  <c r="F251" i="12"/>
  <c r="E251" i="12"/>
  <c r="R250" i="12"/>
  <c r="Q250" i="12"/>
  <c r="P250" i="12"/>
  <c r="O250" i="12"/>
  <c r="G249" i="12"/>
  <c r="F249" i="12"/>
  <c r="E249" i="12"/>
  <c r="G248" i="12"/>
  <c r="F248" i="12"/>
  <c r="E248" i="12"/>
  <c r="G247" i="12"/>
  <c r="F247" i="12"/>
  <c r="E247" i="12"/>
  <c r="G246" i="12"/>
  <c r="F246" i="12"/>
  <c r="E246" i="12"/>
  <c r="G245" i="12"/>
  <c r="F245" i="12"/>
  <c r="E245" i="12"/>
  <c r="G244" i="12"/>
  <c r="F244" i="12"/>
  <c r="E244" i="12"/>
  <c r="G243" i="12"/>
  <c r="F243" i="12"/>
  <c r="E243" i="12"/>
  <c r="G242" i="12"/>
  <c r="F242" i="12"/>
  <c r="E242" i="12"/>
  <c r="G240" i="12"/>
  <c r="F240" i="12"/>
  <c r="E240" i="12"/>
  <c r="G238" i="12"/>
  <c r="F238" i="12"/>
  <c r="E238" i="12"/>
  <c r="G237" i="12"/>
  <c r="F237" i="12"/>
  <c r="E237" i="12"/>
  <c r="G236" i="12"/>
  <c r="F236" i="12"/>
  <c r="E236" i="12"/>
  <c r="G235" i="12"/>
  <c r="F235" i="12"/>
  <c r="E235" i="12"/>
  <c r="G234" i="12"/>
  <c r="F234" i="12"/>
  <c r="E234" i="12"/>
  <c r="G233" i="12"/>
  <c r="F233" i="12"/>
  <c r="E233" i="12"/>
  <c r="G230" i="12"/>
  <c r="F230" i="12"/>
  <c r="E230" i="12"/>
  <c r="G229" i="12"/>
  <c r="F229" i="12"/>
  <c r="E229" i="12"/>
  <c r="G226" i="12"/>
  <c r="F226" i="12"/>
  <c r="E226" i="12"/>
  <c r="G205" i="12"/>
  <c r="F205" i="12"/>
  <c r="E205" i="12"/>
  <c r="G202" i="12"/>
  <c r="F202" i="12"/>
  <c r="E202" i="12"/>
  <c r="G201" i="12"/>
  <c r="F201" i="12"/>
  <c r="E201" i="12"/>
  <c r="G200" i="12"/>
  <c r="F200" i="12"/>
  <c r="E200" i="12"/>
  <c r="G199" i="12"/>
  <c r="F199" i="12"/>
  <c r="E199" i="12"/>
  <c r="G198" i="12"/>
  <c r="F198" i="12"/>
  <c r="E198" i="12"/>
  <c r="P196" i="12"/>
  <c r="O196" i="12"/>
  <c r="G195" i="12"/>
  <c r="F195" i="12"/>
  <c r="E195" i="12"/>
  <c r="G194" i="12"/>
  <c r="F194" i="12"/>
  <c r="E194" i="12"/>
  <c r="G193" i="12"/>
  <c r="F193" i="12"/>
  <c r="E193" i="12"/>
  <c r="G192" i="12"/>
  <c r="F192" i="12"/>
  <c r="E192" i="12"/>
  <c r="G191" i="12"/>
  <c r="F191" i="12"/>
  <c r="E191" i="12"/>
  <c r="G190" i="12"/>
  <c r="F190" i="12"/>
  <c r="E190" i="12"/>
  <c r="G189" i="12"/>
  <c r="F189" i="12"/>
  <c r="E189" i="12"/>
  <c r="G188" i="12"/>
  <c r="F188" i="12"/>
  <c r="E188" i="12"/>
  <c r="G187" i="12"/>
  <c r="F187" i="12"/>
  <c r="E187" i="12"/>
  <c r="G186" i="12"/>
  <c r="F186" i="12"/>
  <c r="E186" i="12"/>
  <c r="G185" i="12"/>
  <c r="F185" i="12"/>
  <c r="E185" i="12"/>
  <c r="G184" i="12"/>
  <c r="F184" i="12"/>
  <c r="E184" i="12"/>
  <c r="G183" i="12"/>
  <c r="F183" i="12"/>
  <c r="E183" i="12"/>
  <c r="G182" i="12"/>
  <c r="F182" i="12"/>
  <c r="E182" i="12"/>
  <c r="G181" i="12"/>
  <c r="F181" i="12"/>
  <c r="E181" i="12"/>
  <c r="G180" i="12"/>
  <c r="F180" i="12"/>
  <c r="E180" i="12"/>
  <c r="G178" i="12"/>
  <c r="F178" i="12"/>
  <c r="E178" i="12"/>
  <c r="P177" i="12"/>
  <c r="O177" i="12"/>
  <c r="G168" i="12"/>
  <c r="F168" i="12"/>
  <c r="E168" i="12"/>
  <c r="G167" i="12"/>
  <c r="F167" i="12"/>
  <c r="E167" i="12"/>
  <c r="G166" i="12"/>
  <c r="F166" i="12"/>
  <c r="E166" i="12"/>
  <c r="G165" i="12"/>
  <c r="F165" i="12"/>
  <c r="E165" i="12"/>
  <c r="G164" i="12"/>
  <c r="F164" i="12"/>
  <c r="E164" i="12"/>
  <c r="G163" i="12"/>
  <c r="F163" i="12"/>
  <c r="E163" i="12"/>
  <c r="G162" i="12"/>
  <c r="F162" i="12"/>
  <c r="E162" i="12"/>
  <c r="G161" i="12"/>
  <c r="F161" i="12"/>
  <c r="E161" i="12"/>
  <c r="G160" i="12"/>
  <c r="F160" i="12"/>
  <c r="E160" i="12"/>
  <c r="G159" i="12"/>
  <c r="F159" i="12"/>
  <c r="E159" i="12"/>
  <c r="G158" i="12"/>
  <c r="F158" i="12"/>
  <c r="E158" i="12"/>
  <c r="G157" i="12"/>
  <c r="F157" i="12"/>
  <c r="E157" i="12"/>
  <c r="G155" i="12"/>
  <c r="F155" i="12"/>
  <c r="E155" i="12"/>
  <c r="G154" i="12"/>
  <c r="F154" i="12"/>
  <c r="E154" i="12"/>
  <c r="G153" i="12"/>
  <c r="F153" i="12"/>
  <c r="E153" i="12"/>
  <c r="G152" i="12"/>
  <c r="F152" i="12"/>
  <c r="E152" i="12"/>
  <c r="G151" i="12"/>
  <c r="F151" i="12"/>
  <c r="E151" i="12"/>
  <c r="G150" i="12"/>
  <c r="F150" i="12"/>
  <c r="E150" i="12"/>
  <c r="G149" i="12"/>
  <c r="F149" i="12"/>
  <c r="E149" i="12"/>
  <c r="G148" i="12"/>
  <c r="F148" i="12"/>
  <c r="E148" i="12"/>
  <c r="G147" i="12"/>
  <c r="F147" i="12"/>
  <c r="E147" i="12"/>
  <c r="G146" i="12"/>
  <c r="F146" i="12"/>
  <c r="E146" i="12"/>
  <c r="G144" i="12"/>
  <c r="F144" i="12"/>
  <c r="E144" i="12"/>
  <c r="G141" i="12"/>
  <c r="F141" i="12"/>
  <c r="E141" i="12"/>
  <c r="G140" i="12"/>
  <c r="F140" i="12"/>
  <c r="E140" i="12"/>
  <c r="G139" i="12"/>
  <c r="F139" i="12"/>
  <c r="E139" i="12"/>
  <c r="G138" i="12"/>
  <c r="F138" i="12"/>
  <c r="E138" i="12"/>
  <c r="G137" i="12"/>
  <c r="F137" i="12"/>
  <c r="E137" i="12"/>
  <c r="G135" i="12"/>
  <c r="F135" i="12"/>
  <c r="E135" i="12"/>
  <c r="G134" i="12"/>
  <c r="F134" i="12"/>
  <c r="E134" i="12"/>
  <c r="G133" i="12"/>
  <c r="F133" i="12"/>
  <c r="E133" i="12"/>
  <c r="G132" i="12"/>
  <c r="F132" i="12"/>
  <c r="E132" i="12"/>
  <c r="G131" i="12"/>
  <c r="F131" i="12"/>
  <c r="E131" i="12"/>
  <c r="G130" i="12"/>
  <c r="F130" i="12"/>
  <c r="E130" i="12"/>
  <c r="G129" i="12"/>
  <c r="F129" i="12"/>
  <c r="E129" i="12"/>
  <c r="G127" i="12"/>
  <c r="F127" i="12"/>
  <c r="E127" i="12"/>
  <c r="G126" i="12"/>
  <c r="F126" i="12"/>
  <c r="E126" i="12"/>
  <c r="G125" i="12"/>
  <c r="F125" i="12"/>
  <c r="E125" i="12"/>
  <c r="G124" i="12"/>
  <c r="F124" i="12"/>
  <c r="E124" i="12"/>
  <c r="G123" i="12"/>
  <c r="F123" i="12"/>
  <c r="E123" i="12"/>
  <c r="G122" i="12"/>
  <c r="F122" i="12"/>
  <c r="E122" i="12"/>
  <c r="G121" i="12"/>
  <c r="F121" i="12"/>
  <c r="E121" i="12"/>
  <c r="G120" i="12"/>
  <c r="F120" i="12"/>
  <c r="E120" i="12"/>
  <c r="G119" i="12"/>
  <c r="F119" i="12"/>
  <c r="E119" i="12"/>
  <c r="G118" i="12"/>
  <c r="F118" i="12"/>
  <c r="E118" i="12"/>
  <c r="G117" i="12"/>
  <c r="F117" i="12"/>
  <c r="E117" i="12"/>
  <c r="G116" i="12"/>
  <c r="F116" i="12"/>
  <c r="E116" i="12"/>
  <c r="G115" i="12"/>
  <c r="F115" i="12"/>
  <c r="E115" i="12"/>
  <c r="G114" i="12"/>
  <c r="F114" i="12"/>
  <c r="E114" i="12"/>
  <c r="G113" i="12"/>
  <c r="F113" i="12"/>
  <c r="E113" i="12"/>
  <c r="G112" i="12"/>
  <c r="F112" i="12"/>
  <c r="E112" i="12"/>
  <c r="G111" i="12"/>
  <c r="F111" i="12"/>
  <c r="E111" i="12"/>
  <c r="G110" i="12"/>
  <c r="F110" i="12"/>
  <c r="E110" i="12"/>
  <c r="G109" i="12"/>
  <c r="F109" i="12"/>
  <c r="E109" i="12"/>
  <c r="G108" i="12"/>
  <c r="F108" i="12"/>
  <c r="E108" i="12"/>
  <c r="G107" i="12"/>
  <c r="F107" i="12"/>
  <c r="E107" i="12"/>
  <c r="Q106" i="12"/>
  <c r="P106" i="12"/>
  <c r="O106" i="12"/>
  <c r="G98" i="12"/>
  <c r="F98" i="12"/>
  <c r="E98" i="12"/>
  <c r="G97" i="12"/>
  <c r="F97" i="12"/>
  <c r="E97" i="12"/>
  <c r="G96" i="12"/>
  <c r="F96" i="12"/>
  <c r="E96" i="12"/>
  <c r="G95" i="12"/>
  <c r="F95" i="12"/>
  <c r="E95" i="12"/>
  <c r="G94" i="12"/>
  <c r="F94" i="12"/>
  <c r="E94" i="12"/>
  <c r="G93" i="12"/>
  <c r="F93" i="12"/>
  <c r="E93" i="12"/>
  <c r="G92" i="12"/>
  <c r="F92" i="12"/>
  <c r="E92" i="12"/>
  <c r="G90" i="12"/>
  <c r="F90" i="12"/>
  <c r="E90" i="12"/>
  <c r="G89" i="12"/>
  <c r="F89" i="12"/>
  <c r="E89" i="12"/>
  <c r="G88" i="12"/>
  <c r="F88" i="12"/>
  <c r="E88" i="12"/>
  <c r="G87" i="12"/>
  <c r="F87" i="12"/>
  <c r="E87" i="12"/>
  <c r="G86" i="12"/>
  <c r="F86" i="12"/>
  <c r="E86" i="12"/>
  <c r="G85" i="12"/>
  <c r="F85" i="12"/>
  <c r="E85" i="12"/>
  <c r="G84" i="12"/>
  <c r="F84" i="12"/>
  <c r="E84" i="12"/>
  <c r="G83" i="12"/>
  <c r="F83" i="12"/>
  <c r="E83" i="12"/>
  <c r="G82" i="12"/>
  <c r="F82" i="12"/>
  <c r="E82" i="12"/>
  <c r="G81" i="12"/>
  <c r="F81" i="12"/>
  <c r="E81" i="12"/>
  <c r="G80" i="12"/>
  <c r="F80" i="12"/>
  <c r="E80" i="12"/>
  <c r="G79" i="12"/>
  <c r="F79" i="12"/>
  <c r="E79" i="12"/>
  <c r="G78" i="12"/>
  <c r="F78" i="12"/>
  <c r="E78" i="12"/>
  <c r="G77" i="12"/>
  <c r="F77" i="12"/>
  <c r="E77" i="12"/>
  <c r="G76" i="12"/>
  <c r="F76" i="12"/>
  <c r="E76" i="12"/>
  <c r="G75" i="12"/>
  <c r="F75" i="12"/>
  <c r="E75" i="12"/>
  <c r="G74" i="12"/>
  <c r="F74" i="12"/>
  <c r="E74" i="12"/>
  <c r="G73" i="12"/>
  <c r="F73" i="12"/>
  <c r="E73" i="12"/>
  <c r="G72" i="12"/>
  <c r="F72" i="12"/>
  <c r="E72" i="12"/>
  <c r="G70" i="12"/>
  <c r="F70" i="12"/>
  <c r="E70" i="12"/>
  <c r="G68" i="12"/>
  <c r="F68" i="12"/>
  <c r="E68" i="12"/>
  <c r="G67" i="12"/>
  <c r="F67" i="12"/>
  <c r="E67" i="12"/>
  <c r="G66" i="12"/>
  <c r="F66" i="12"/>
  <c r="E66" i="12"/>
  <c r="G65" i="12"/>
  <c r="F65" i="12"/>
  <c r="E65" i="12"/>
  <c r="G64" i="12"/>
  <c r="F64" i="12"/>
  <c r="E64" i="12"/>
  <c r="G63" i="12"/>
  <c r="F63" i="12"/>
  <c r="E63" i="12"/>
  <c r="G61" i="12"/>
  <c r="F61" i="12"/>
  <c r="E61" i="12"/>
  <c r="G60" i="12"/>
  <c r="F60" i="12"/>
  <c r="E60" i="12"/>
  <c r="G59" i="12"/>
  <c r="F59" i="12"/>
  <c r="E59" i="12"/>
  <c r="G58" i="12"/>
  <c r="F58" i="12"/>
  <c r="E58" i="12"/>
  <c r="G57" i="12"/>
  <c r="F57" i="12"/>
  <c r="E57" i="12"/>
  <c r="G56" i="12"/>
  <c r="F56" i="12"/>
  <c r="E56" i="12"/>
  <c r="G55" i="12"/>
  <c r="F55" i="12"/>
  <c r="E55" i="12"/>
  <c r="G54" i="12"/>
  <c r="F54" i="12"/>
  <c r="E54" i="12"/>
  <c r="G53" i="12"/>
  <c r="F53" i="12"/>
  <c r="E53" i="12"/>
  <c r="G52" i="12"/>
  <c r="F52" i="12"/>
  <c r="E52" i="12"/>
  <c r="G51" i="12"/>
  <c r="F51" i="12"/>
  <c r="E51" i="12"/>
  <c r="G50" i="12"/>
  <c r="F50" i="12"/>
  <c r="E50" i="12"/>
  <c r="G49" i="12"/>
  <c r="F49" i="12"/>
  <c r="E49" i="12"/>
  <c r="G48" i="12"/>
  <c r="F48" i="12"/>
  <c r="E48" i="12"/>
  <c r="G47" i="12"/>
  <c r="F47" i="12"/>
  <c r="E47" i="12"/>
  <c r="G46" i="12"/>
  <c r="F46" i="12"/>
  <c r="E46" i="12"/>
  <c r="G45" i="12"/>
  <c r="F45" i="12"/>
  <c r="E45" i="12"/>
  <c r="G44" i="12"/>
  <c r="F44" i="12"/>
  <c r="E44" i="12"/>
  <c r="E9" i="17" l="1"/>
  <c r="F14" i="14"/>
  <c r="G14" i="14" s="1"/>
  <c r="F16" i="14"/>
  <c r="G16" i="14" s="1"/>
  <c r="F13" i="14"/>
  <c r="G13" i="14" s="1"/>
  <c r="F12" i="14"/>
  <c r="D9" i="17"/>
  <c r="G12" i="14" l="1"/>
  <c r="F7" i="14"/>
  <c r="E13" i="17"/>
  <c r="C9" i="17"/>
  <c r="G7" i="14"/>
  <c r="E5" i="17" l="1"/>
  <c r="E19" i="17" s="1"/>
  <c r="E15" i="17"/>
  <c r="C13" i="17"/>
  <c r="D5" i="17"/>
  <c r="E14" i="17"/>
  <c r="D16" i="17"/>
  <c r="D17" i="17"/>
  <c r="D13" i="17"/>
  <c r="C17" i="17"/>
  <c r="C5" i="17"/>
  <c r="E17" i="17"/>
  <c r="C16" i="17" l="1"/>
  <c r="E16" i="17" l="1"/>
  <c r="H200" i="11"/>
  <c r="H197" i="11"/>
  <c r="H193" i="11"/>
  <c r="H190" i="11"/>
  <c r="H186" i="11"/>
  <c r="H177" i="11"/>
  <c r="H169" i="11"/>
  <c r="H165" i="11"/>
  <c r="H164" i="11" s="1"/>
  <c r="H162" i="11"/>
  <c r="H161" i="11" s="1"/>
  <c r="H153" i="11"/>
  <c r="H135" i="11"/>
  <c r="H122" i="11"/>
  <c r="H110" i="11"/>
  <c r="H107" i="11"/>
  <c r="H99" i="11"/>
  <c r="H93" i="11"/>
  <c r="H64" i="11"/>
  <c r="H37" i="11"/>
  <c r="H35" i="11"/>
  <c r="H9" i="11"/>
  <c r="H109" i="11" l="1"/>
  <c r="H8" i="11"/>
  <c r="H168" i="11"/>
  <c r="H6" i="11" l="1"/>
  <c r="E104" i="11" l="1"/>
  <c r="D104" i="11"/>
  <c r="C104" i="11"/>
  <c r="E105" i="11"/>
  <c r="D105" i="11"/>
  <c r="C105" i="11"/>
  <c r="E201" i="11"/>
  <c r="D201" i="11"/>
  <c r="C201" i="11"/>
  <c r="J200" i="11"/>
  <c r="I200" i="11"/>
  <c r="J199" i="11"/>
  <c r="E199" i="11"/>
  <c r="D199" i="11"/>
  <c r="C199" i="11"/>
  <c r="J198" i="11"/>
  <c r="E198" i="11"/>
  <c r="D198" i="11"/>
  <c r="C198" i="11"/>
  <c r="L197" i="11"/>
  <c r="K197" i="11"/>
  <c r="I197" i="11"/>
  <c r="E196" i="11"/>
  <c r="D196" i="11"/>
  <c r="C196" i="11"/>
  <c r="E195" i="11"/>
  <c r="D195" i="11"/>
  <c r="C195" i="11"/>
  <c r="E194" i="11"/>
  <c r="D194" i="11"/>
  <c r="C194" i="11"/>
  <c r="J193" i="11"/>
  <c r="I193" i="11"/>
  <c r="E192" i="11"/>
  <c r="D192" i="11"/>
  <c r="C192" i="11"/>
  <c r="E191" i="11"/>
  <c r="D191" i="11"/>
  <c r="C191" i="11"/>
  <c r="J190" i="11"/>
  <c r="I190" i="11"/>
  <c r="J189" i="11"/>
  <c r="E189" i="11"/>
  <c r="D189" i="11"/>
  <c r="C189" i="11"/>
  <c r="J188" i="11"/>
  <c r="E188" i="11"/>
  <c r="D188" i="11"/>
  <c r="C188" i="11"/>
  <c r="J187" i="11"/>
  <c r="E187" i="11"/>
  <c r="D187" i="11"/>
  <c r="C187" i="11"/>
  <c r="N186" i="11"/>
  <c r="M186" i="11"/>
  <c r="L186" i="11"/>
  <c r="K186" i="11"/>
  <c r="I186" i="11"/>
  <c r="E185" i="11"/>
  <c r="D185" i="11"/>
  <c r="C185" i="11"/>
  <c r="E184" i="11"/>
  <c r="D184" i="11"/>
  <c r="C184" i="11"/>
  <c r="E183" i="11"/>
  <c r="D183" i="11"/>
  <c r="C183" i="11"/>
  <c r="E182" i="11"/>
  <c r="D182" i="11"/>
  <c r="C182" i="11"/>
  <c r="E181" i="11"/>
  <c r="D181" i="11"/>
  <c r="C181" i="11"/>
  <c r="E180" i="11"/>
  <c r="D180" i="11"/>
  <c r="C180" i="11"/>
  <c r="E179" i="11"/>
  <c r="D179" i="11"/>
  <c r="C179" i="11"/>
  <c r="E178" i="11"/>
  <c r="D178" i="11"/>
  <c r="C178" i="11"/>
  <c r="J177" i="11"/>
  <c r="I177" i="11"/>
  <c r="E176" i="11"/>
  <c r="D176" i="11"/>
  <c r="C176" i="11"/>
  <c r="E175" i="11"/>
  <c r="D175" i="11"/>
  <c r="C175" i="11"/>
  <c r="E174" i="11"/>
  <c r="D174" i="11"/>
  <c r="C174" i="11"/>
  <c r="E173" i="11"/>
  <c r="D173" i="11"/>
  <c r="C173" i="11"/>
  <c r="E172" i="11"/>
  <c r="D172" i="11"/>
  <c r="C172" i="11"/>
  <c r="E171" i="11"/>
  <c r="D171" i="11"/>
  <c r="C171" i="11"/>
  <c r="E170" i="11"/>
  <c r="D170" i="11"/>
  <c r="C170" i="11"/>
  <c r="J169" i="11"/>
  <c r="I169" i="11"/>
  <c r="E167" i="11"/>
  <c r="D167" i="11"/>
  <c r="C167" i="11"/>
  <c r="E166" i="11"/>
  <c r="D166" i="11"/>
  <c r="C166" i="11"/>
  <c r="J165" i="11"/>
  <c r="J164" i="11" s="1"/>
  <c r="I165" i="11"/>
  <c r="I164" i="11" s="1"/>
  <c r="E163" i="11"/>
  <c r="D163" i="11"/>
  <c r="C163" i="11"/>
  <c r="I162" i="11"/>
  <c r="I161" i="11" s="1"/>
  <c r="J161" i="11"/>
  <c r="J160" i="11"/>
  <c r="E160" i="11"/>
  <c r="D160" i="11"/>
  <c r="C160" i="11"/>
  <c r="J159" i="11"/>
  <c r="E159" i="11"/>
  <c r="D159" i="11"/>
  <c r="C159" i="11"/>
  <c r="J158" i="11"/>
  <c r="E158" i="11"/>
  <c r="D158" i="11"/>
  <c r="C158" i="11"/>
  <c r="J157" i="11"/>
  <c r="E157" i="11"/>
  <c r="D157" i="11"/>
  <c r="C157" i="11"/>
  <c r="J156" i="11"/>
  <c r="E156" i="11"/>
  <c r="D156" i="11"/>
  <c r="C156" i="11"/>
  <c r="J155" i="11"/>
  <c r="E155" i="11"/>
  <c r="D155" i="11"/>
  <c r="C155" i="11"/>
  <c r="J154" i="11"/>
  <c r="E154" i="11"/>
  <c r="D154" i="11"/>
  <c r="C154" i="11"/>
  <c r="L153" i="11"/>
  <c r="K153" i="11"/>
  <c r="I153" i="11"/>
  <c r="J152" i="11"/>
  <c r="E152" i="11"/>
  <c r="D152" i="11"/>
  <c r="C152" i="11"/>
  <c r="J151" i="11"/>
  <c r="E151" i="11"/>
  <c r="D151" i="11"/>
  <c r="C151" i="11"/>
  <c r="J150" i="11"/>
  <c r="E150" i="11"/>
  <c r="D150" i="11"/>
  <c r="C150" i="11"/>
  <c r="J149" i="11"/>
  <c r="E149" i="11"/>
  <c r="D149" i="11"/>
  <c r="C149" i="11"/>
  <c r="J148" i="11"/>
  <c r="E148" i="11"/>
  <c r="D148" i="11"/>
  <c r="C148" i="11"/>
  <c r="J147" i="11"/>
  <c r="E147" i="11"/>
  <c r="D147" i="11"/>
  <c r="C147" i="11"/>
  <c r="J146" i="11"/>
  <c r="E146" i="11"/>
  <c r="D146" i="11"/>
  <c r="C146" i="11"/>
  <c r="J145" i="11"/>
  <c r="E145" i="11"/>
  <c r="D145" i="11"/>
  <c r="C145" i="11"/>
  <c r="J144" i="11"/>
  <c r="E144" i="11"/>
  <c r="D144" i="11"/>
  <c r="C144" i="11"/>
  <c r="J143" i="11"/>
  <c r="E143" i="11"/>
  <c r="D143" i="11"/>
  <c r="C143" i="11"/>
  <c r="J142" i="11"/>
  <c r="E142" i="11"/>
  <c r="D142" i="11"/>
  <c r="C142" i="11"/>
  <c r="J141" i="11"/>
  <c r="E141" i="11"/>
  <c r="D141" i="11"/>
  <c r="C141" i="11"/>
  <c r="J140" i="11"/>
  <c r="E140" i="11"/>
  <c r="D140" i="11"/>
  <c r="C140" i="11"/>
  <c r="J139" i="11"/>
  <c r="E139" i="11"/>
  <c r="D139" i="11"/>
  <c r="C139" i="11"/>
  <c r="J138" i="11"/>
  <c r="E138" i="11"/>
  <c r="D138" i="11"/>
  <c r="C138" i="11"/>
  <c r="J137" i="11"/>
  <c r="E137" i="11"/>
  <c r="D137" i="11"/>
  <c r="C137" i="11"/>
  <c r="J136" i="11"/>
  <c r="E136" i="11"/>
  <c r="D136" i="11"/>
  <c r="C136" i="11"/>
  <c r="L135" i="11"/>
  <c r="K135" i="11"/>
  <c r="I135" i="11"/>
  <c r="E134" i="11"/>
  <c r="D134" i="11"/>
  <c r="C134" i="11"/>
  <c r="E133" i="11"/>
  <c r="D133" i="11"/>
  <c r="C133" i="11"/>
  <c r="E132" i="11"/>
  <c r="D132" i="11"/>
  <c r="C132" i="11"/>
  <c r="E131" i="11"/>
  <c r="D131" i="11"/>
  <c r="C131" i="11"/>
  <c r="E130" i="11"/>
  <c r="D130" i="11"/>
  <c r="C130" i="11"/>
  <c r="E129" i="11"/>
  <c r="D129" i="11"/>
  <c r="C129" i="11"/>
  <c r="E128" i="11"/>
  <c r="D128" i="11"/>
  <c r="C128" i="11"/>
  <c r="E127" i="11"/>
  <c r="D127" i="11"/>
  <c r="C127" i="11"/>
  <c r="E126" i="11"/>
  <c r="D126" i="11"/>
  <c r="C126" i="11"/>
  <c r="E125" i="11"/>
  <c r="D125" i="11"/>
  <c r="C125" i="11"/>
  <c r="E124" i="11"/>
  <c r="D124" i="11"/>
  <c r="C124" i="11"/>
  <c r="E123" i="11"/>
  <c r="D123" i="11"/>
  <c r="C123" i="11"/>
  <c r="J122" i="11"/>
  <c r="I122" i="11"/>
  <c r="E121" i="11"/>
  <c r="D121" i="11"/>
  <c r="C121" i="11"/>
  <c r="E120" i="11"/>
  <c r="D120" i="11"/>
  <c r="C120" i="11"/>
  <c r="E119" i="11"/>
  <c r="D119" i="11"/>
  <c r="C119" i="11"/>
  <c r="E118" i="11"/>
  <c r="D118" i="11"/>
  <c r="C118" i="11"/>
  <c r="E117" i="11"/>
  <c r="D117" i="11"/>
  <c r="C117" i="11"/>
  <c r="E116" i="11"/>
  <c r="D116" i="11"/>
  <c r="C116" i="11"/>
  <c r="E115" i="11"/>
  <c r="D115" i="11"/>
  <c r="C115" i="11"/>
  <c r="E114" i="11"/>
  <c r="D114" i="11"/>
  <c r="C114" i="11"/>
  <c r="E113" i="11"/>
  <c r="D113" i="11"/>
  <c r="C113" i="11"/>
  <c r="E112" i="11"/>
  <c r="D112" i="11"/>
  <c r="C112" i="11"/>
  <c r="E111" i="11"/>
  <c r="D111" i="11"/>
  <c r="C111" i="11"/>
  <c r="J110" i="11"/>
  <c r="I110" i="11"/>
  <c r="E108" i="11"/>
  <c r="D108" i="11"/>
  <c r="C108" i="11"/>
  <c r="J107" i="11"/>
  <c r="I107" i="11"/>
  <c r="E106" i="11"/>
  <c r="D106" i="11"/>
  <c r="C106" i="11"/>
  <c r="E103" i="11"/>
  <c r="D103" i="11"/>
  <c r="C103" i="11"/>
  <c r="E102" i="11"/>
  <c r="D102" i="11"/>
  <c r="C102" i="11"/>
  <c r="E101" i="11"/>
  <c r="D101" i="11"/>
  <c r="C101" i="11"/>
  <c r="J100" i="11"/>
  <c r="E100" i="11"/>
  <c r="D100" i="11"/>
  <c r="C100" i="11"/>
  <c r="I99" i="11"/>
  <c r="E98" i="11"/>
  <c r="D98" i="11"/>
  <c r="C98" i="11"/>
  <c r="E97" i="11"/>
  <c r="D97" i="11"/>
  <c r="C97" i="11"/>
  <c r="E96" i="11"/>
  <c r="D96" i="11"/>
  <c r="C96" i="11"/>
  <c r="E95" i="11"/>
  <c r="D95" i="11"/>
  <c r="C95" i="11"/>
  <c r="E94" i="11"/>
  <c r="D94" i="11"/>
  <c r="C94" i="11"/>
  <c r="J93" i="11"/>
  <c r="I93" i="11"/>
  <c r="J92" i="11"/>
  <c r="E92" i="11"/>
  <c r="D92" i="11"/>
  <c r="C92" i="11"/>
  <c r="J91" i="11"/>
  <c r="E91" i="11"/>
  <c r="D91" i="11"/>
  <c r="C91" i="11"/>
  <c r="J90" i="11"/>
  <c r="E90" i="11"/>
  <c r="D90" i="11"/>
  <c r="C90" i="11"/>
  <c r="J89" i="11"/>
  <c r="E89" i="11"/>
  <c r="D89" i="11"/>
  <c r="C89" i="11"/>
  <c r="J88" i="11"/>
  <c r="E88" i="11"/>
  <c r="D88" i="11"/>
  <c r="C88" i="11"/>
  <c r="J87" i="11"/>
  <c r="E87" i="11"/>
  <c r="D87" i="11"/>
  <c r="C87" i="11"/>
  <c r="J86" i="11"/>
  <c r="E86" i="11"/>
  <c r="D86" i="11"/>
  <c r="C86" i="11"/>
  <c r="J85" i="11"/>
  <c r="E85" i="11"/>
  <c r="D85" i="11"/>
  <c r="C85" i="11"/>
  <c r="J84" i="11"/>
  <c r="E84" i="11"/>
  <c r="D84" i="11"/>
  <c r="C84" i="11"/>
  <c r="J83" i="11"/>
  <c r="E83" i="11"/>
  <c r="D83" i="11"/>
  <c r="C83" i="11"/>
  <c r="J82" i="11"/>
  <c r="E82" i="11"/>
  <c r="D82" i="11"/>
  <c r="C82" i="11"/>
  <c r="J81" i="11"/>
  <c r="E81" i="11"/>
  <c r="D81" i="11"/>
  <c r="C81" i="11"/>
  <c r="J80" i="11"/>
  <c r="E80" i="11"/>
  <c r="D80" i="11"/>
  <c r="C80" i="11"/>
  <c r="J79" i="11"/>
  <c r="E79" i="11"/>
  <c r="D79" i="11"/>
  <c r="C79" i="11"/>
  <c r="J78" i="11"/>
  <c r="E78" i="11"/>
  <c r="D78" i="11"/>
  <c r="C78" i="11"/>
  <c r="J77" i="11"/>
  <c r="E77" i="11"/>
  <c r="D77" i="11"/>
  <c r="C77" i="11"/>
  <c r="J76" i="11"/>
  <c r="E76" i="11"/>
  <c r="D76" i="11"/>
  <c r="C76" i="11"/>
  <c r="J75" i="11"/>
  <c r="E75" i="11"/>
  <c r="D75" i="11"/>
  <c r="C75" i="11"/>
  <c r="J74" i="11"/>
  <c r="E74" i="11"/>
  <c r="D74" i="11"/>
  <c r="C74" i="11"/>
  <c r="J73" i="11"/>
  <c r="E73" i="11"/>
  <c r="D73" i="11"/>
  <c r="C73" i="11"/>
  <c r="J72" i="11"/>
  <c r="E72" i="11"/>
  <c r="D72" i="11"/>
  <c r="C72" i="11"/>
  <c r="J71" i="11"/>
  <c r="E71" i="11"/>
  <c r="D71" i="11"/>
  <c r="C71" i="11"/>
  <c r="J70" i="11"/>
  <c r="E70" i="11"/>
  <c r="D70" i="11"/>
  <c r="C70" i="11"/>
  <c r="J69" i="11"/>
  <c r="E69" i="11"/>
  <c r="D69" i="11"/>
  <c r="C69" i="11"/>
  <c r="J68" i="11"/>
  <c r="E68" i="11"/>
  <c r="D68" i="11"/>
  <c r="C68" i="11"/>
  <c r="J67" i="11"/>
  <c r="E67" i="11"/>
  <c r="D67" i="11"/>
  <c r="C67" i="11"/>
  <c r="J66" i="11"/>
  <c r="E66" i="11"/>
  <c r="D66" i="11"/>
  <c r="C66" i="11"/>
  <c r="J65" i="11"/>
  <c r="E65" i="11"/>
  <c r="D65" i="11"/>
  <c r="C65" i="11"/>
  <c r="M64" i="11"/>
  <c r="L64" i="11"/>
  <c r="K64" i="11"/>
  <c r="I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J37" i="11"/>
  <c r="I37" i="11"/>
  <c r="E36" i="11"/>
  <c r="D36" i="11"/>
  <c r="C36" i="11"/>
  <c r="J35" i="11"/>
  <c r="I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E13" i="11"/>
  <c r="D13" i="11"/>
  <c r="C13" i="11"/>
  <c r="E12" i="11"/>
  <c r="D12" i="11"/>
  <c r="C12" i="11"/>
  <c r="E11" i="11"/>
  <c r="D11" i="11"/>
  <c r="C11" i="11"/>
  <c r="J9" i="11"/>
  <c r="I9" i="11"/>
  <c r="F52" i="10"/>
  <c r="E51" i="10"/>
  <c r="F51" i="10" s="1"/>
  <c r="F49" i="10"/>
  <c r="E49" i="10"/>
  <c r="E48" i="10"/>
  <c r="F48" i="10" s="1"/>
  <c r="E47" i="10"/>
  <c r="F47" i="10" s="1"/>
  <c r="E45" i="10"/>
  <c r="E44" i="10"/>
  <c r="F43" i="10"/>
  <c r="E42" i="10"/>
  <c r="F42" i="10" s="1"/>
  <c r="E40" i="10"/>
  <c r="E39" i="10"/>
  <c r="F39" i="10" s="1"/>
  <c r="F38" i="10"/>
  <c r="E37" i="10"/>
  <c r="F37" i="10" s="1"/>
  <c r="F36" i="10"/>
  <c r="F35" i="10"/>
  <c r="F34" i="10"/>
  <c r="E34" i="10"/>
  <c r="E33" i="10" s="1"/>
  <c r="F33" i="10" s="1"/>
  <c r="F32" i="10"/>
  <c r="F31" i="10"/>
  <c r="E30" i="10"/>
  <c r="E29" i="10" s="1"/>
  <c r="F29" i="10" s="1"/>
  <c r="E27" i="10"/>
  <c r="F26" i="10"/>
  <c r="E25" i="10"/>
  <c r="F25" i="10" s="1"/>
  <c r="E22" i="10"/>
  <c r="F21" i="10"/>
  <c r="F20" i="10"/>
  <c r="E20" i="10"/>
  <c r="F19" i="10"/>
  <c r="F18" i="10"/>
  <c r="F17" i="10"/>
  <c r="E16" i="10"/>
  <c r="F16" i="10" s="1"/>
  <c r="E15" i="10"/>
  <c r="F15" i="10" s="1"/>
  <c r="J197" i="11" l="1"/>
  <c r="I109" i="11"/>
  <c r="I8" i="11"/>
  <c r="I168" i="11"/>
  <c r="J64" i="11"/>
  <c r="J153" i="11"/>
  <c r="J99" i="11"/>
  <c r="J135" i="11"/>
  <c r="J186" i="11"/>
  <c r="E24" i="10"/>
  <c r="F24" i="10" s="1"/>
  <c r="F30" i="10"/>
  <c r="E50" i="10"/>
  <c r="F50" i="10" s="1"/>
  <c r="E6" i="10"/>
  <c r="I6" i="11" l="1"/>
  <c r="J168" i="11"/>
  <c r="J8" i="11"/>
  <c r="J109" i="11"/>
  <c r="E14" i="10"/>
  <c r="J6" i="11" l="1"/>
  <c r="E55" i="10"/>
  <c r="F14" i="10"/>
  <c r="E13" i="10"/>
  <c r="F13" i="10" l="1"/>
  <c r="E12" i="10"/>
  <c r="F12" i="10" l="1"/>
  <c r="E11" i="10"/>
  <c r="F11" i="10" l="1"/>
  <c r="E10" i="10"/>
  <c r="F10" i="10" s="1"/>
  <c r="K173" i="9" l="1"/>
  <c r="K172" i="9"/>
  <c r="K171" i="9"/>
  <c r="K170" i="9"/>
  <c r="K169" i="9"/>
  <c r="K168" i="9"/>
  <c r="K167" i="9"/>
  <c r="K166" i="9"/>
  <c r="K165" i="9"/>
  <c r="K164" i="9"/>
  <c r="K163" i="9"/>
  <c r="K162" i="9"/>
  <c r="K161" i="9"/>
  <c r="K160" i="9"/>
  <c r="K159" i="9"/>
  <c r="K158" i="9"/>
  <c r="K157" i="9"/>
  <c r="K156" i="9"/>
  <c r="K155" i="9"/>
  <c r="K154" i="9"/>
  <c r="K153" i="9"/>
  <c r="K152" i="9"/>
  <c r="K151" i="9"/>
  <c r="K150" i="9"/>
  <c r="K149" i="9"/>
  <c r="K148" i="9"/>
  <c r="K147" i="9"/>
  <c r="K146" i="9"/>
  <c r="K145" i="9"/>
  <c r="K144" i="9"/>
  <c r="K143" i="9"/>
  <c r="K142" i="9"/>
  <c r="K141" i="9"/>
  <c r="K140" i="9"/>
  <c r="K139" i="9"/>
  <c r="K138" i="9"/>
  <c r="K137" i="9"/>
  <c r="K136" i="9"/>
  <c r="K135" i="9"/>
  <c r="K134" i="9"/>
  <c r="K133" i="9"/>
  <c r="K132" i="9"/>
  <c r="K131" i="9"/>
  <c r="K130" i="9"/>
  <c r="K129" i="9"/>
  <c r="K128" i="9"/>
  <c r="K127" i="9"/>
  <c r="K126" i="9"/>
  <c r="K125" i="9"/>
  <c r="K124" i="9"/>
  <c r="K123" i="9"/>
  <c r="K122" i="9"/>
  <c r="K121" i="9"/>
  <c r="K120" i="9"/>
  <c r="K119" i="9"/>
  <c r="K118" i="9"/>
  <c r="K117" i="9"/>
  <c r="K116" i="9"/>
  <c r="K115" i="9"/>
  <c r="K114" i="9"/>
  <c r="K113" i="9"/>
  <c r="K112" i="9"/>
  <c r="K111" i="9"/>
  <c r="K110" i="9"/>
  <c r="K109" i="9"/>
  <c r="K108" i="9"/>
  <c r="K107" i="9"/>
  <c r="K106" i="9"/>
  <c r="K105" i="9"/>
  <c r="K104" i="9"/>
  <c r="K103" i="9"/>
  <c r="K102" i="9"/>
  <c r="K101" i="9"/>
  <c r="K100" i="9"/>
  <c r="K99" i="9"/>
  <c r="K98" i="9"/>
  <c r="K97" i="9"/>
  <c r="K96" i="9"/>
  <c r="K95" i="9"/>
  <c r="K94" i="9"/>
  <c r="K93" i="9"/>
  <c r="K92" i="9"/>
  <c r="K91" i="9"/>
  <c r="K90" i="9"/>
  <c r="K89" i="9"/>
  <c r="K88" i="9"/>
  <c r="K87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B58" i="9"/>
  <c r="B164" i="9"/>
  <c r="B172" i="9"/>
  <c r="B154" i="9"/>
  <c r="B148" i="9"/>
  <c r="B147" i="9"/>
  <c r="B133" i="9"/>
  <c r="B132" i="9"/>
  <c r="B118" i="9"/>
  <c r="B165" i="9"/>
  <c r="B117" i="9"/>
  <c r="B157" i="9"/>
  <c r="B63" i="9"/>
  <c r="B62" i="9"/>
  <c r="B173" i="9"/>
  <c r="B6" i="9"/>
  <c r="B61" i="9"/>
  <c r="B60" i="9"/>
  <c r="B150" i="9"/>
  <c r="B59" i="9"/>
  <c r="B153" i="9"/>
  <c r="B38" i="9"/>
  <c r="B168" i="9"/>
  <c r="B169" i="9"/>
  <c r="B163" i="9"/>
  <c r="B161" i="9"/>
  <c r="B171" i="9"/>
  <c r="B39" i="9"/>
  <c r="B160" i="9"/>
  <c r="B37" i="9"/>
  <c r="B145" i="9"/>
  <c r="B81" i="9"/>
  <c r="B80" i="9"/>
  <c r="B79" i="9"/>
  <c r="B78" i="9"/>
  <c r="B77" i="9"/>
  <c r="B76" i="9"/>
  <c r="B149" i="9"/>
  <c r="B137" i="9"/>
  <c r="B131" i="9"/>
  <c r="B130" i="9"/>
  <c r="B129" i="9"/>
  <c r="B128" i="9"/>
  <c r="B127" i="9"/>
  <c r="B126" i="9"/>
  <c r="B125" i="9"/>
  <c r="B124" i="9"/>
  <c r="B123" i="9"/>
  <c r="B136" i="9"/>
  <c r="B146" i="9"/>
  <c r="B122" i="9"/>
  <c r="B121" i="9"/>
  <c r="B120" i="9"/>
  <c r="B119" i="9"/>
  <c r="B75" i="9"/>
  <c r="B74" i="9"/>
  <c r="B73" i="9"/>
  <c r="B72" i="9"/>
  <c r="B71" i="9"/>
  <c r="B70" i="9"/>
  <c r="B69" i="9"/>
  <c r="B158" i="9"/>
  <c r="B68" i="9"/>
  <c r="B67" i="9"/>
  <c r="B66" i="9"/>
  <c r="B65" i="9"/>
  <c r="B152" i="9"/>
  <c r="B36" i="9"/>
  <c r="B35" i="9"/>
  <c r="B34" i="9"/>
  <c r="B33" i="9"/>
  <c r="B32" i="9"/>
  <c r="B31" i="9"/>
  <c r="B30" i="9"/>
  <c r="B29" i="9"/>
  <c r="B64" i="9"/>
  <c r="B151" i="9"/>
  <c r="B156" i="9"/>
  <c r="B167" i="9"/>
  <c r="B138" i="9"/>
  <c r="B139" i="9"/>
  <c r="B166" i="9"/>
  <c r="B140" i="9"/>
  <c r="B110" i="9"/>
  <c r="B109" i="9"/>
  <c r="B144" i="9"/>
  <c r="B143" i="9"/>
  <c r="B142" i="9"/>
  <c r="B141" i="9"/>
  <c r="B108" i="9"/>
  <c r="B107" i="9"/>
  <c r="B106" i="9"/>
  <c r="B105" i="9"/>
  <c r="B104" i="9"/>
  <c r="B103" i="9"/>
  <c r="B102" i="9"/>
  <c r="B101" i="9"/>
  <c r="B100" i="9"/>
  <c r="B99" i="9"/>
  <c r="B98" i="9"/>
  <c r="B97" i="9"/>
  <c r="B96" i="9"/>
  <c r="B95" i="9"/>
  <c r="B94" i="9"/>
  <c r="B93" i="9"/>
  <c r="B92" i="9"/>
  <c r="B91" i="9"/>
  <c r="B135" i="9"/>
  <c r="B90" i="9"/>
  <c r="B89" i="9"/>
  <c r="B88" i="9"/>
  <c r="B134" i="9"/>
  <c r="B87" i="9"/>
  <c r="B86" i="9"/>
  <c r="B85" i="9"/>
  <c r="B84" i="9"/>
  <c r="B83" i="9"/>
  <c r="B82" i="9"/>
  <c r="B116" i="9"/>
  <c r="B43" i="9"/>
  <c r="B48" i="9"/>
  <c r="B49" i="9"/>
  <c r="B44" i="9"/>
  <c r="B115" i="9"/>
  <c r="B47" i="9"/>
  <c r="B162" i="9"/>
  <c r="B45" i="9"/>
  <c r="B46" i="9"/>
  <c r="B40" i="9"/>
  <c r="B114" i="9"/>
  <c r="B42" i="9"/>
  <c r="B54" i="9"/>
  <c r="B113" i="9"/>
  <c r="B55" i="9"/>
  <c r="B53" i="9"/>
  <c r="B112" i="9"/>
  <c r="B41" i="9"/>
  <c r="B56" i="9"/>
  <c r="B51" i="9"/>
  <c r="B50" i="9"/>
  <c r="B57" i="9"/>
  <c r="B52" i="9"/>
  <c r="B174" i="9"/>
  <c r="B111" i="9"/>
  <c r="B23" i="9"/>
  <c r="B159" i="9"/>
  <c r="B28" i="9"/>
  <c r="B27" i="9"/>
  <c r="B26" i="9"/>
  <c r="B25" i="9"/>
  <c r="B24" i="9"/>
  <c r="B22" i="9"/>
  <c r="B21" i="9"/>
  <c r="B155" i="9"/>
  <c r="B20" i="9"/>
  <c r="B19" i="9"/>
  <c r="B170" i="9"/>
  <c r="B18" i="9"/>
  <c r="B17" i="9"/>
  <c r="B16" i="9"/>
  <c r="B15" i="9"/>
  <c r="B14" i="9"/>
  <c r="B13" i="9"/>
  <c r="B12" i="9"/>
  <c r="B11" i="9"/>
  <c r="B10" i="9"/>
  <c r="B9" i="9"/>
  <c r="B8" i="9"/>
  <c r="B7" i="9"/>
  <c r="Y163" i="8"/>
  <c r="X204" i="8"/>
  <c r="X203" i="8"/>
  <c r="X199" i="8"/>
  <c r="Y199" i="8" s="1"/>
  <c r="X198" i="8"/>
  <c r="Y198" i="8" s="1"/>
  <c r="X197" i="8"/>
  <c r="Y197" i="8" s="1"/>
  <c r="X195" i="8"/>
  <c r="X194" i="8"/>
  <c r="X188" i="8"/>
  <c r="Y188" i="8" s="1"/>
  <c r="X187" i="8"/>
  <c r="X186" i="8"/>
  <c r="X185" i="8"/>
  <c r="X184" i="8"/>
  <c r="X183" i="8"/>
  <c r="X182" i="8"/>
  <c r="X181" i="8"/>
  <c r="X180" i="8"/>
  <c r="Y180" i="8" s="1"/>
  <c r="X178" i="8"/>
  <c r="X177" i="8"/>
  <c r="X176" i="8"/>
  <c r="X175" i="8"/>
  <c r="X174" i="8"/>
  <c r="X173" i="8"/>
  <c r="X172" i="8"/>
  <c r="X171" i="8" s="1"/>
  <c r="X169" i="8"/>
  <c r="X167" i="8" s="1"/>
  <c r="X166" i="8" s="1"/>
  <c r="X168" i="8"/>
  <c r="X165" i="8"/>
  <c r="X136" i="8"/>
  <c r="X135" i="8"/>
  <c r="X134" i="8"/>
  <c r="X133" i="8"/>
  <c r="X132" i="8"/>
  <c r="X131" i="8"/>
  <c r="X130" i="8"/>
  <c r="X129" i="8"/>
  <c r="X128" i="8"/>
  <c r="X127" i="8"/>
  <c r="X126" i="8"/>
  <c r="X125" i="8"/>
  <c r="X123" i="8"/>
  <c r="X122" i="8"/>
  <c r="X121" i="8"/>
  <c r="X120" i="8"/>
  <c r="X119" i="8"/>
  <c r="X118" i="8"/>
  <c r="X117" i="8"/>
  <c r="X116" i="8"/>
  <c r="X115" i="8"/>
  <c r="X114" i="8"/>
  <c r="X113" i="8"/>
  <c r="X110" i="8"/>
  <c r="X109" i="8" s="1"/>
  <c r="X108" i="8"/>
  <c r="X107" i="8"/>
  <c r="X106" i="8"/>
  <c r="X105" i="8"/>
  <c r="X104" i="8"/>
  <c r="X103" i="8"/>
  <c r="Y103" i="8" s="1"/>
  <c r="X100" i="8"/>
  <c r="X99" i="8"/>
  <c r="X98" i="8"/>
  <c r="X97" i="8"/>
  <c r="X96" i="8"/>
  <c r="X65" i="8"/>
  <c r="X64" i="8"/>
  <c r="X63" i="8"/>
  <c r="X62" i="8"/>
  <c r="X61" i="8"/>
  <c r="X60" i="8"/>
  <c r="X59" i="8"/>
  <c r="X58" i="8"/>
  <c r="X57" i="8"/>
  <c r="X56" i="8"/>
  <c r="X55" i="8"/>
  <c r="X54" i="8"/>
  <c r="X53" i="8"/>
  <c r="X52" i="8"/>
  <c r="X51" i="8"/>
  <c r="X50" i="8"/>
  <c r="X49" i="8"/>
  <c r="X48" i="8"/>
  <c r="X47" i="8"/>
  <c r="X46" i="8"/>
  <c r="X45" i="8"/>
  <c r="X44" i="8"/>
  <c r="X43" i="8"/>
  <c r="X42" i="8"/>
  <c r="X41" i="8"/>
  <c r="X40" i="8"/>
  <c r="X38" i="8"/>
  <c r="X37" i="8" s="1"/>
  <c r="X36" i="8"/>
  <c r="X35" i="8"/>
  <c r="X34" i="8"/>
  <c r="X33" i="8"/>
  <c r="X32" i="8"/>
  <c r="X31" i="8"/>
  <c r="X30" i="8"/>
  <c r="X29" i="8"/>
  <c r="X28" i="8"/>
  <c r="X27" i="8"/>
  <c r="X26" i="8"/>
  <c r="X25" i="8"/>
  <c r="X24" i="8"/>
  <c r="X23" i="8"/>
  <c r="X22" i="8"/>
  <c r="X21" i="8"/>
  <c r="X20" i="8"/>
  <c r="X19" i="8"/>
  <c r="X18" i="8"/>
  <c r="X17" i="8"/>
  <c r="X16" i="8"/>
  <c r="X15" i="8"/>
  <c r="X14" i="8"/>
  <c r="X13" i="8"/>
  <c r="W203" i="8"/>
  <c r="W196" i="8"/>
  <c r="W193" i="8"/>
  <c r="W189" i="8"/>
  <c r="W179" i="8"/>
  <c r="W171" i="8"/>
  <c r="W167" i="8"/>
  <c r="W166" i="8" s="1"/>
  <c r="W163" i="8"/>
  <c r="W155" i="8"/>
  <c r="W137" i="8"/>
  <c r="W124" i="8"/>
  <c r="W112" i="8"/>
  <c r="W109" i="8"/>
  <c r="W101" i="8"/>
  <c r="W95" i="8"/>
  <c r="W66" i="8"/>
  <c r="W39" i="8"/>
  <c r="W37" i="8"/>
  <c r="W11" i="8"/>
  <c r="X163" i="8"/>
  <c r="X205" i="3"/>
  <c r="X200" i="3"/>
  <c r="X199" i="3"/>
  <c r="X198" i="3"/>
  <c r="X197" i="3" s="1"/>
  <c r="X196" i="3"/>
  <c r="X195" i="3"/>
  <c r="X189" i="3"/>
  <c r="X188" i="3"/>
  <c r="X187" i="3"/>
  <c r="X186" i="3"/>
  <c r="X185" i="3"/>
  <c r="X184" i="3"/>
  <c r="X183" i="3"/>
  <c r="X180" i="3" s="1"/>
  <c r="X182" i="3"/>
  <c r="X181" i="3"/>
  <c r="X179" i="3"/>
  <c r="X178" i="3"/>
  <c r="X177" i="3"/>
  <c r="X176" i="3"/>
  <c r="X175" i="3"/>
  <c r="X174" i="3"/>
  <c r="X172" i="3" s="1"/>
  <c r="X173" i="3"/>
  <c r="X170" i="3"/>
  <c r="X169" i="3"/>
  <c r="X168" i="3" s="1"/>
  <c r="X167" i="3" s="1"/>
  <c r="X166" i="3"/>
  <c r="X141" i="3"/>
  <c r="X137" i="3"/>
  <c r="X136" i="3"/>
  <c r="X135" i="3"/>
  <c r="X134" i="3"/>
  <c r="X133" i="3"/>
  <c r="X132" i="3"/>
  <c r="X131" i="3"/>
  <c r="X130" i="3"/>
  <c r="X129" i="3"/>
  <c r="X128" i="3"/>
  <c r="X125" i="3" s="1"/>
  <c r="X127" i="3"/>
  <c r="X126" i="3"/>
  <c r="X124" i="3"/>
  <c r="X123" i="3"/>
  <c r="X122" i="3"/>
  <c r="X121" i="3"/>
  <c r="X120" i="3"/>
  <c r="X119" i="3"/>
  <c r="X118" i="3"/>
  <c r="X117" i="3"/>
  <c r="X116" i="3"/>
  <c r="X115" i="3"/>
  <c r="X114" i="3"/>
  <c r="X111" i="3"/>
  <c r="X109" i="3"/>
  <c r="Y109" i="3"/>
  <c r="X108" i="3"/>
  <c r="X107" i="3"/>
  <c r="X106" i="3"/>
  <c r="X105" i="3"/>
  <c r="Y105" i="3"/>
  <c r="X104" i="3"/>
  <c r="X101" i="3"/>
  <c r="X100" i="3"/>
  <c r="Y100" i="3"/>
  <c r="X99" i="3"/>
  <c r="X98" i="3"/>
  <c r="X97" i="3"/>
  <c r="X83" i="3"/>
  <c r="X79" i="3"/>
  <c r="X66" i="3"/>
  <c r="X65" i="3"/>
  <c r="X64" i="3"/>
  <c r="X63" i="3"/>
  <c r="X62" i="3"/>
  <c r="X61" i="3"/>
  <c r="X60" i="3"/>
  <c r="X59" i="3"/>
  <c r="X58" i="3"/>
  <c r="X57" i="3"/>
  <c r="X56" i="3"/>
  <c r="X55" i="3"/>
  <c r="X54" i="3"/>
  <c r="X53" i="3"/>
  <c r="X52" i="3"/>
  <c r="X51" i="3"/>
  <c r="X50" i="3"/>
  <c r="X49" i="3"/>
  <c r="X48" i="3"/>
  <c r="X47" i="3"/>
  <c r="X46" i="3"/>
  <c r="X45" i="3"/>
  <c r="X44" i="3"/>
  <c r="X43" i="3"/>
  <c r="Y42" i="3"/>
  <c r="X42" i="3"/>
  <c r="X41" i="3"/>
  <c r="X39" i="3"/>
  <c r="X37" i="3"/>
  <c r="X36" i="3"/>
  <c r="X35" i="3"/>
  <c r="X34" i="3"/>
  <c r="X33" i="3"/>
  <c r="X32" i="3"/>
  <c r="X31" i="3"/>
  <c r="X30" i="3"/>
  <c r="X29" i="3"/>
  <c r="X28" i="3"/>
  <c r="X27" i="3"/>
  <c r="X26" i="3"/>
  <c r="X25" i="3"/>
  <c r="X24" i="3"/>
  <c r="X23" i="3"/>
  <c r="X22" i="3"/>
  <c r="X21" i="3"/>
  <c r="X20" i="3"/>
  <c r="X19" i="3"/>
  <c r="X18" i="3"/>
  <c r="X17" i="3"/>
  <c r="X16" i="3"/>
  <c r="X15" i="3"/>
  <c r="Y164" i="3"/>
  <c r="X14" i="3"/>
  <c r="X204" i="3"/>
  <c r="X194" i="3"/>
  <c r="X164" i="3"/>
  <c r="X110" i="3"/>
  <c r="X38" i="3"/>
  <c r="E13" i="3"/>
  <c r="D13" i="3"/>
  <c r="C13" i="3"/>
  <c r="T204" i="8"/>
  <c r="T203" i="8" s="1"/>
  <c r="J204" i="8"/>
  <c r="J203" i="8" s="1"/>
  <c r="E204" i="8"/>
  <c r="D204" i="8"/>
  <c r="C204" i="8"/>
  <c r="U203" i="8"/>
  <c r="R203" i="8"/>
  <c r="P203" i="8"/>
  <c r="O203" i="8"/>
  <c r="N203" i="8"/>
  <c r="M203" i="8"/>
  <c r="L203" i="8"/>
  <c r="K203" i="8"/>
  <c r="I203" i="8"/>
  <c r="U202" i="8"/>
  <c r="T202" i="8" s="1"/>
  <c r="V202" i="8" s="1"/>
  <c r="J202" i="8"/>
  <c r="Q202" i="8" s="1"/>
  <c r="S202" i="8" s="1"/>
  <c r="E202" i="8"/>
  <c r="D202" i="8"/>
  <c r="C202" i="8"/>
  <c r="U201" i="8"/>
  <c r="J201" i="8"/>
  <c r="Q201" i="8"/>
  <c r="S201" i="8" s="1"/>
  <c r="E201" i="8"/>
  <c r="D201" i="8"/>
  <c r="C201" i="8"/>
  <c r="AB200" i="8"/>
  <c r="AA200" i="8"/>
  <c r="R200" i="8"/>
  <c r="P200" i="8"/>
  <c r="O200" i="8"/>
  <c r="N200" i="8"/>
  <c r="M200" i="8"/>
  <c r="L200" i="8"/>
  <c r="K200" i="8"/>
  <c r="I200" i="8"/>
  <c r="T199" i="8"/>
  <c r="V199" i="8" s="1"/>
  <c r="J199" i="8"/>
  <c r="Q199" i="8" s="1"/>
  <c r="S199" i="8" s="1"/>
  <c r="E199" i="8"/>
  <c r="D199" i="8"/>
  <c r="C199" i="8"/>
  <c r="T198" i="8"/>
  <c r="V198" i="8" s="1"/>
  <c r="J198" i="8"/>
  <c r="Q198" i="8" s="1"/>
  <c r="S198" i="8" s="1"/>
  <c r="E198" i="8"/>
  <c r="D198" i="8"/>
  <c r="C198" i="8"/>
  <c r="T197" i="8"/>
  <c r="V197" i="8" s="1"/>
  <c r="J197" i="8"/>
  <c r="Q197" i="8" s="1"/>
  <c r="S197" i="8" s="1"/>
  <c r="E197" i="8"/>
  <c r="D197" i="8"/>
  <c r="C197" i="8"/>
  <c r="U196" i="8"/>
  <c r="R196" i="8"/>
  <c r="P196" i="8"/>
  <c r="O196" i="8"/>
  <c r="N196" i="8"/>
  <c r="M196" i="8"/>
  <c r="L196" i="8"/>
  <c r="K196" i="8"/>
  <c r="I196" i="8"/>
  <c r="T195" i="8"/>
  <c r="J195" i="8"/>
  <c r="Q195" i="8" s="1"/>
  <c r="S195" i="8" s="1"/>
  <c r="E195" i="8"/>
  <c r="D195" i="8"/>
  <c r="C195" i="8"/>
  <c r="T194" i="8"/>
  <c r="V194" i="8" s="1"/>
  <c r="J194" i="8"/>
  <c r="Q194" i="8" s="1"/>
  <c r="E194" i="8"/>
  <c r="D194" i="8"/>
  <c r="C194" i="8"/>
  <c r="U193" i="8"/>
  <c r="R193" i="8"/>
  <c r="P193" i="8"/>
  <c r="O193" i="8"/>
  <c r="N193" i="8"/>
  <c r="M193" i="8"/>
  <c r="L193" i="8"/>
  <c r="K193" i="8"/>
  <c r="I193" i="8"/>
  <c r="U192" i="8"/>
  <c r="T192" i="8" s="1"/>
  <c r="V192" i="8" s="1"/>
  <c r="J192" i="8"/>
  <c r="Q192" i="8" s="1"/>
  <c r="S192" i="8" s="1"/>
  <c r="E192" i="8"/>
  <c r="D192" i="8"/>
  <c r="C192" i="8"/>
  <c r="U191" i="8"/>
  <c r="J191" i="8"/>
  <c r="Q191" i="8" s="1"/>
  <c r="S191" i="8" s="1"/>
  <c r="E191" i="8"/>
  <c r="D191" i="8"/>
  <c r="C191" i="8"/>
  <c r="U190" i="8"/>
  <c r="X190" i="8" s="1"/>
  <c r="J190" i="8"/>
  <c r="Q190" i="8" s="1"/>
  <c r="S190" i="8" s="1"/>
  <c r="E190" i="8"/>
  <c r="D190" i="8"/>
  <c r="C190" i="8"/>
  <c r="AD189" i="8"/>
  <c r="AC189" i="8"/>
  <c r="AB189" i="8"/>
  <c r="AA189" i="8"/>
  <c r="R189" i="8"/>
  <c r="O189" i="8"/>
  <c r="N189" i="8"/>
  <c r="M189" i="8"/>
  <c r="L189" i="8"/>
  <c r="K189" i="8"/>
  <c r="I189" i="8"/>
  <c r="T188" i="8"/>
  <c r="V188" i="8" s="1"/>
  <c r="J188" i="8"/>
  <c r="Q188" i="8" s="1"/>
  <c r="S188" i="8" s="1"/>
  <c r="E188" i="8"/>
  <c r="D188" i="8"/>
  <c r="C188" i="8"/>
  <c r="T187" i="8"/>
  <c r="V187" i="8" s="1"/>
  <c r="J187" i="8"/>
  <c r="Q187" i="8" s="1"/>
  <c r="S187" i="8" s="1"/>
  <c r="E187" i="8"/>
  <c r="D187" i="8"/>
  <c r="C187" i="8"/>
  <c r="T186" i="8"/>
  <c r="J186" i="8"/>
  <c r="Q186" i="8" s="1"/>
  <c r="S186" i="8" s="1"/>
  <c r="E186" i="8"/>
  <c r="D186" i="8"/>
  <c r="C186" i="8"/>
  <c r="T185" i="8"/>
  <c r="V185" i="8" s="1"/>
  <c r="J185" i="8"/>
  <c r="Q185" i="8" s="1"/>
  <c r="S185" i="8" s="1"/>
  <c r="E185" i="8"/>
  <c r="D185" i="8"/>
  <c r="C185" i="8"/>
  <c r="T184" i="8"/>
  <c r="V184" i="8" s="1"/>
  <c r="S184" i="8"/>
  <c r="J184" i="8"/>
  <c r="T183" i="8"/>
  <c r="J183" i="8"/>
  <c r="Q183" i="8" s="1"/>
  <c r="S183" i="8" s="1"/>
  <c r="E183" i="8"/>
  <c r="D183" i="8"/>
  <c r="C183" i="8"/>
  <c r="T182" i="8"/>
  <c r="V182" i="8" s="1"/>
  <c r="J182" i="8"/>
  <c r="Q182" i="8" s="1"/>
  <c r="S182" i="8" s="1"/>
  <c r="E182" i="8"/>
  <c r="D182" i="8"/>
  <c r="C182" i="8"/>
  <c r="T181" i="8"/>
  <c r="V181" i="8" s="1"/>
  <c r="J181" i="8"/>
  <c r="Q181" i="8" s="1"/>
  <c r="S181" i="8" s="1"/>
  <c r="E181" i="8"/>
  <c r="D181" i="8"/>
  <c r="C181" i="8"/>
  <c r="T180" i="8"/>
  <c r="J180" i="8"/>
  <c r="Q180" i="8" s="1"/>
  <c r="E180" i="8"/>
  <c r="D180" i="8"/>
  <c r="C180" i="8"/>
  <c r="U179" i="8"/>
  <c r="R179" i="8"/>
  <c r="O179" i="8"/>
  <c r="N179" i="8"/>
  <c r="M179" i="8"/>
  <c r="L179" i="8"/>
  <c r="K179" i="8"/>
  <c r="I179" i="8"/>
  <c r="Q178" i="8"/>
  <c r="S178" i="8" s="1"/>
  <c r="T178" i="8" s="1"/>
  <c r="V178" i="8" s="1"/>
  <c r="E178" i="8"/>
  <c r="D178" i="8"/>
  <c r="C178" i="8"/>
  <c r="Q177" i="8"/>
  <c r="S177" i="8" s="1"/>
  <c r="T177" i="8" s="1"/>
  <c r="Y177" i="8" s="1"/>
  <c r="E177" i="8"/>
  <c r="D177" i="8"/>
  <c r="C177" i="8"/>
  <c r="Q176" i="8"/>
  <c r="S176" i="8" s="1"/>
  <c r="T176" i="8" s="1"/>
  <c r="Y176" i="8" s="1"/>
  <c r="E176" i="8"/>
  <c r="D176" i="8"/>
  <c r="C176" i="8"/>
  <c r="Q175" i="8"/>
  <c r="S175" i="8" s="1"/>
  <c r="T175" i="8" s="1"/>
  <c r="E175" i="8"/>
  <c r="D175" i="8"/>
  <c r="C175" i="8"/>
  <c r="Q174" i="8"/>
  <c r="S174" i="8" s="1"/>
  <c r="E174" i="8"/>
  <c r="D174" i="8"/>
  <c r="C174" i="8"/>
  <c r="Q173" i="8"/>
  <c r="S173" i="8" s="1"/>
  <c r="T173" i="8" s="1"/>
  <c r="E173" i="8"/>
  <c r="D173" i="8"/>
  <c r="C173" i="8"/>
  <c r="Q172" i="8"/>
  <c r="S172" i="8" s="1"/>
  <c r="T172" i="8" s="1"/>
  <c r="E172" i="8"/>
  <c r="D172" i="8"/>
  <c r="C172" i="8"/>
  <c r="U171" i="8"/>
  <c r="R171" i="8"/>
  <c r="O171" i="8"/>
  <c r="N171" i="8"/>
  <c r="M171" i="8"/>
  <c r="L171" i="8"/>
  <c r="K171" i="8"/>
  <c r="J171" i="8"/>
  <c r="I171" i="8"/>
  <c r="J169" i="8"/>
  <c r="E169" i="8"/>
  <c r="D169" i="8"/>
  <c r="C169" i="8"/>
  <c r="J168" i="8"/>
  <c r="Q168" i="8" s="1"/>
  <c r="E168" i="8"/>
  <c r="D168" i="8"/>
  <c r="C168" i="8"/>
  <c r="U167" i="8"/>
  <c r="U166" i="8" s="1"/>
  <c r="R167" i="8"/>
  <c r="R166" i="8" s="1"/>
  <c r="O167" i="8"/>
  <c r="O166" i="8" s="1"/>
  <c r="N167" i="8"/>
  <c r="N166" i="8" s="1"/>
  <c r="M167" i="8"/>
  <c r="M166" i="8" s="1"/>
  <c r="L167" i="8"/>
  <c r="L166" i="8" s="1"/>
  <c r="K167" i="8"/>
  <c r="K166" i="8" s="1"/>
  <c r="I167" i="8"/>
  <c r="I166" i="8" s="1"/>
  <c r="T165" i="8"/>
  <c r="Y165" i="8" s="1"/>
  <c r="J165" i="8"/>
  <c r="Q165" i="8" s="1"/>
  <c r="S165" i="8" s="1"/>
  <c r="E165" i="8"/>
  <c r="D165" i="8"/>
  <c r="C165" i="8"/>
  <c r="I164" i="8"/>
  <c r="I163" i="8"/>
  <c r="V163" i="8"/>
  <c r="U163" i="8"/>
  <c r="T163" i="8"/>
  <c r="S163" i="8"/>
  <c r="R163" i="8"/>
  <c r="Q163" i="8"/>
  <c r="O163" i="8"/>
  <c r="N163" i="8"/>
  <c r="M163" i="8"/>
  <c r="L163" i="8"/>
  <c r="K163" i="8"/>
  <c r="J163" i="8"/>
  <c r="U162" i="8"/>
  <c r="X162" i="8" s="1"/>
  <c r="J162" i="8"/>
  <c r="Q162" i="8" s="1"/>
  <c r="S162" i="8" s="1"/>
  <c r="E162" i="8"/>
  <c r="D162" i="8"/>
  <c r="C162" i="8"/>
  <c r="U161" i="8"/>
  <c r="X161" i="8" s="1"/>
  <c r="J161" i="8"/>
  <c r="Q161" i="8" s="1"/>
  <c r="S161" i="8" s="1"/>
  <c r="E161" i="8"/>
  <c r="D161" i="8"/>
  <c r="C161" i="8"/>
  <c r="U160" i="8"/>
  <c r="X160" i="8" s="1"/>
  <c r="J160" i="8"/>
  <c r="Q160" i="8" s="1"/>
  <c r="S160" i="8" s="1"/>
  <c r="E160" i="8"/>
  <c r="D160" i="8"/>
  <c r="C160" i="8"/>
  <c r="U159" i="8"/>
  <c r="X159" i="8" s="1"/>
  <c r="J159" i="8"/>
  <c r="Q159" i="8" s="1"/>
  <c r="S159" i="8" s="1"/>
  <c r="E159" i="8"/>
  <c r="D159" i="8"/>
  <c r="C159" i="8"/>
  <c r="U158" i="8"/>
  <c r="J158" i="8"/>
  <c r="Q158" i="8"/>
  <c r="S158" i="8" s="1"/>
  <c r="E158" i="8"/>
  <c r="D158" i="8"/>
  <c r="C158" i="8"/>
  <c r="U157" i="8"/>
  <c r="X157" i="8" s="1"/>
  <c r="J157" i="8"/>
  <c r="Q157" i="8"/>
  <c r="S157" i="8" s="1"/>
  <c r="E157" i="8"/>
  <c r="D157" i="8"/>
  <c r="C157" i="8"/>
  <c r="U156" i="8"/>
  <c r="J156" i="8"/>
  <c r="E156" i="8"/>
  <c r="D156" i="8"/>
  <c r="C156" i="8"/>
  <c r="AB155" i="8"/>
  <c r="AA155" i="8"/>
  <c r="R155" i="8"/>
  <c r="O155" i="8"/>
  <c r="N155" i="8"/>
  <c r="M155" i="8"/>
  <c r="L155" i="8"/>
  <c r="K155" i="8"/>
  <c r="I155" i="8"/>
  <c r="U154" i="8"/>
  <c r="X154" i="8" s="1"/>
  <c r="J154" i="8"/>
  <c r="Q154" i="8" s="1"/>
  <c r="S154" i="8" s="1"/>
  <c r="E154" i="8"/>
  <c r="D154" i="8"/>
  <c r="C154" i="8"/>
  <c r="U153" i="8"/>
  <c r="T153" i="8" s="1"/>
  <c r="J153" i="8"/>
  <c r="Q153" i="8" s="1"/>
  <c r="S153" i="8" s="1"/>
  <c r="E153" i="8"/>
  <c r="D153" i="8"/>
  <c r="C153" i="8"/>
  <c r="U152" i="8"/>
  <c r="X152" i="8"/>
  <c r="J152" i="8"/>
  <c r="Q152" i="8" s="1"/>
  <c r="S152" i="8" s="1"/>
  <c r="E152" i="8"/>
  <c r="D152" i="8"/>
  <c r="C152" i="8"/>
  <c r="U151" i="8"/>
  <c r="J151" i="8"/>
  <c r="Q151" i="8" s="1"/>
  <c r="S151" i="8" s="1"/>
  <c r="E151" i="8"/>
  <c r="D151" i="8"/>
  <c r="C151" i="8"/>
  <c r="U150" i="8"/>
  <c r="T150" i="8" s="1"/>
  <c r="J150" i="8"/>
  <c r="Q150" i="8" s="1"/>
  <c r="S150" i="8" s="1"/>
  <c r="E150" i="8"/>
  <c r="D150" i="8"/>
  <c r="C150" i="8"/>
  <c r="U149" i="8"/>
  <c r="J149" i="8"/>
  <c r="Q149" i="8" s="1"/>
  <c r="S149" i="8" s="1"/>
  <c r="E149" i="8"/>
  <c r="D149" i="8"/>
  <c r="C149" i="8"/>
  <c r="U148" i="8"/>
  <c r="T148" i="8" s="1"/>
  <c r="V148" i="8" s="1"/>
  <c r="J148" i="8"/>
  <c r="Q148" i="8" s="1"/>
  <c r="S148" i="8" s="1"/>
  <c r="E148" i="8"/>
  <c r="D148" i="8"/>
  <c r="C148" i="8"/>
  <c r="U147" i="8"/>
  <c r="T147" i="8" s="1"/>
  <c r="V147" i="8" s="1"/>
  <c r="J147" i="8"/>
  <c r="Q147" i="8" s="1"/>
  <c r="S147" i="8" s="1"/>
  <c r="E147" i="8"/>
  <c r="D147" i="8"/>
  <c r="C147" i="8"/>
  <c r="U146" i="8"/>
  <c r="X146" i="8" s="1"/>
  <c r="J146" i="8"/>
  <c r="Q146" i="8" s="1"/>
  <c r="S146" i="8" s="1"/>
  <c r="E146" i="8"/>
  <c r="D146" i="8"/>
  <c r="C146" i="8"/>
  <c r="U145" i="8"/>
  <c r="T145" i="8" s="1"/>
  <c r="J145" i="8"/>
  <c r="Q145" i="8" s="1"/>
  <c r="S145" i="8" s="1"/>
  <c r="E145" i="8"/>
  <c r="D145" i="8"/>
  <c r="C145" i="8"/>
  <c r="U144" i="8"/>
  <c r="X144" i="8" s="1"/>
  <c r="J144" i="8"/>
  <c r="Q144" i="8" s="1"/>
  <c r="S144" i="8" s="1"/>
  <c r="E144" i="8"/>
  <c r="D144" i="8"/>
  <c r="C144" i="8"/>
  <c r="U143" i="8"/>
  <c r="X143" i="8" s="1"/>
  <c r="J143" i="8"/>
  <c r="Q143" i="8" s="1"/>
  <c r="S143" i="8" s="1"/>
  <c r="E143" i="8"/>
  <c r="D143" i="8"/>
  <c r="C143" i="8"/>
  <c r="U142" i="8"/>
  <c r="J142" i="8"/>
  <c r="Q142" i="8" s="1"/>
  <c r="S142" i="8" s="1"/>
  <c r="E142" i="8"/>
  <c r="D142" i="8"/>
  <c r="C142" i="8"/>
  <c r="U141" i="8"/>
  <c r="T141" i="8" s="1"/>
  <c r="J141" i="8"/>
  <c r="Q141" i="8" s="1"/>
  <c r="S141" i="8" s="1"/>
  <c r="E141" i="8"/>
  <c r="D141" i="8"/>
  <c r="C141" i="8"/>
  <c r="U140" i="8"/>
  <c r="X140" i="8" s="1"/>
  <c r="J140" i="8"/>
  <c r="Q140" i="8" s="1"/>
  <c r="S140" i="8" s="1"/>
  <c r="E140" i="8"/>
  <c r="D140" i="8"/>
  <c r="C140" i="8"/>
  <c r="U139" i="8"/>
  <c r="T139" i="8"/>
  <c r="V139" i="8" s="1"/>
  <c r="J139" i="8"/>
  <c r="Q139" i="8" s="1"/>
  <c r="S139" i="8" s="1"/>
  <c r="E139" i="8"/>
  <c r="D139" i="8"/>
  <c r="C139" i="8"/>
  <c r="U138" i="8"/>
  <c r="X138" i="8" s="1"/>
  <c r="J138" i="8"/>
  <c r="Q138" i="8" s="1"/>
  <c r="S138" i="8" s="1"/>
  <c r="E138" i="8"/>
  <c r="D138" i="8"/>
  <c r="C138" i="8"/>
  <c r="AB137" i="8"/>
  <c r="AA137" i="8"/>
  <c r="R137" i="8"/>
  <c r="O137" i="8"/>
  <c r="N137" i="8"/>
  <c r="M137" i="8"/>
  <c r="L137" i="8"/>
  <c r="K137" i="8"/>
  <c r="I137" i="8"/>
  <c r="T136" i="8"/>
  <c r="V136" i="8" s="1"/>
  <c r="J136" i="8"/>
  <c r="Q136" i="8" s="1"/>
  <c r="S136" i="8" s="1"/>
  <c r="E136" i="8"/>
  <c r="D136" i="8"/>
  <c r="C136" i="8"/>
  <c r="T135" i="8"/>
  <c r="J135" i="8"/>
  <c r="Q135" i="8" s="1"/>
  <c r="S135" i="8" s="1"/>
  <c r="E135" i="8"/>
  <c r="D135" i="8"/>
  <c r="C135" i="8"/>
  <c r="T134" i="8"/>
  <c r="Y134" i="8" s="1"/>
  <c r="J134" i="8"/>
  <c r="Q134" i="8" s="1"/>
  <c r="S134" i="8" s="1"/>
  <c r="E134" i="8"/>
  <c r="D134" i="8"/>
  <c r="C134" i="8"/>
  <c r="T133" i="8"/>
  <c r="V133" i="8" s="1"/>
  <c r="J133" i="8"/>
  <c r="Q133" i="8" s="1"/>
  <c r="S133" i="8" s="1"/>
  <c r="E133" i="8"/>
  <c r="D133" i="8"/>
  <c r="C133" i="8"/>
  <c r="T132" i="8"/>
  <c r="J132" i="8"/>
  <c r="Q132" i="8" s="1"/>
  <c r="S132" i="8" s="1"/>
  <c r="E132" i="8"/>
  <c r="D132" i="8"/>
  <c r="C132" i="8"/>
  <c r="T131" i="8"/>
  <c r="V131" i="8" s="1"/>
  <c r="J131" i="8"/>
  <c r="Q131" i="8" s="1"/>
  <c r="S131" i="8" s="1"/>
  <c r="E131" i="8"/>
  <c r="D131" i="8"/>
  <c r="C131" i="8"/>
  <c r="T130" i="8"/>
  <c r="J130" i="8"/>
  <c r="Q130" i="8"/>
  <c r="S130" i="8" s="1"/>
  <c r="E130" i="8"/>
  <c r="D130" i="8"/>
  <c r="C130" i="8"/>
  <c r="T129" i="8"/>
  <c r="J129" i="8"/>
  <c r="Q129" i="8" s="1"/>
  <c r="S129" i="8" s="1"/>
  <c r="E129" i="8"/>
  <c r="D129" i="8"/>
  <c r="C129" i="8"/>
  <c r="T128" i="8"/>
  <c r="J128" i="8"/>
  <c r="Q128" i="8" s="1"/>
  <c r="S128" i="8" s="1"/>
  <c r="E128" i="8"/>
  <c r="D128" i="8"/>
  <c r="C128" i="8"/>
  <c r="T127" i="8"/>
  <c r="V127" i="8" s="1"/>
  <c r="J127" i="8"/>
  <c r="Q127" i="8" s="1"/>
  <c r="S127" i="8" s="1"/>
  <c r="E127" i="8"/>
  <c r="D127" i="8"/>
  <c r="C127" i="8"/>
  <c r="T126" i="8"/>
  <c r="V126" i="8" s="1"/>
  <c r="J126" i="8"/>
  <c r="Q126" i="8" s="1"/>
  <c r="S126" i="8" s="1"/>
  <c r="E126" i="8"/>
  <c r="D126" i="8"/>
  <c r="C126" i="8"/>
  <c r="T125" i="8"/>
  <c r="Y125" i="8" s="1"/>
  <c r="J125" i="8"/>
  <c r="Q125" i="8" s="1"/>
  <c r="S125" i="8" s="1"/>
  <c r="E125" i="8"/>
  <c r="D125" i="8"/>
  <c r="C125" i="8"/>
  <c r="U124" i="8"/>
  <c r="R124" i="8"/>
  <c r="O124" i="8"/>
  <c r="N124" i="8"/>
  <c r="M124" i="8"/>
  <c r="L124" i="8"/>
  <c r="K124" i="8"/>
  <c r="I124" i="8"/>
  <c r="Q123" i="8"/>
  <c r="S123" i="8" s="1"/>
  <c r="V123" i="8" s="1"/>
  <c r="E123" i="8"/>
  <c r="D123" i="8"/>
  <c r="C123" i="8"/>
  <c r="Q122" i="8"/>
  <c r="S122" i="8" s="1"/>
  <c r="T122" i="8" s="1"/>
  <c r="E122" i="8"/>
  <c r="D122" i="8"/>
  <c r="C122" i="8"/>
  <c r="Q121" i="8"/>
  <c r="S121" i="8" s="1"/>
  <c r="E121" i="8"/>
  <c r="D121" i="8"/>
  <c r="C121" i="8"/>
  <c r="Q120" i="8"/>
  <c r="S120" i="8" s="1"/>
  <c r="E120" i="8"/>
  <c r="D120" i="8"/>
  <c r="C120" i="8"/>
  <c r="Q119" i="8"/>
  <c r="S119" i="8" s="1"/>
  <c r="E119" i="8"/>
  <c r="D119" i="8"/>
  <c r="C119" i="8"/>
  <c r="Q118" i="8"/>
  <c r="S118" i="8" s="1"/>
  <c r="T118" i="8" s="1"/>
  <c r="Y118" i="8" s="1"/>
  <c r="E118" i="8"/>
  <c r="D118" i="8"/>
  <c r="C118" i="8"/>
  <c r="Q117" i="8"/>
  <c r="S117" i="8" s="1"/>
  <c r="E117" i="8"/>
  <c r="D117" i="8"/>
  <c r="C117" i="8"/>
  <c r="Q116" i="8"/>
  <c r="S116" i="8" s="1"/>
  <c r="E116" i="8"/>
  <c r="D116" i="8"/>
  <c r="C116" i="8"/>
  <c r="Q115" i="8"/>
  <c r="S115" i="8" s="1"/>
  <c r="T115" i="8" s="1"/>
  <c r="E115" i="8"/>
  <c r="D115" i="8"/>
  <c r="C115" i="8"/>
  <c r="Q114" i="8"/>
  <c r="E114" i="8"/>
  <c r="D114" i="8"/>
  <c r="C114" i="8"/>
  <c r="Q113" i="8"/>
  <c r="S113" i="8" s="1"/>
  <c r="T113" i="8" s="1"/>
  <c r="Y113" i="8" s="1"/>
  <c r="E113" i="8"/>
  <c r="D113" i="8"/>
  <c r="C113" i="8"/>
  <c r="U112" i="8"/>
  <c r="R112" i="8"/>
  <c r="O112" i="8"/>
  <c r="N112" i="8"/>
  <c r="M112" i="8"/>
  <c r="L112" i="8"/>
  <c r="K112" i="8"/>
  <c r="J112" i="8"/>
  <c r="I112" i="8"/>
  <c r="T110" i="8"/>
  <c r="J110" i="8"/>
  <c r="Q110" i="8" s="1"/>
  <c r="S110" i="8" s="1"/>
  <c r="S109" i="8" s="1"/>
  <c r="E110" i="8"/>
  <c r="D110" i="8"/>
  <c r="C110" i="8"/>
  <c r="U109" i="8"/>
  <c r="R109" i="8"/>
  <c r="O109" i="8"/>
  <c r="N109" i="8"/>
  <c r="M109" i="8"/>
  <c r="L109" i="8"/>
  <c r="K109" i="8"/>
  <c r="I109" i="8"/>
  <c r="T108" i="8"/>
  <c r="V108" i="8" s="1"/>
  <c r="J108" i="8"/>
  <c r="Q108" i="8" s="1"/>
  <c r="S108" i="8" s="1"/>
  <c r="E108" i="8"/>
  <c r="D108" i="8"/>
  <c r="C108" i="8"/>
  <c r="T107" i="8"/>
  <c r="V107" i="8" s="1"/>
  <c r="J107" i="8"/>
  <c r="Q107" i="8" s="1"/>
  <c r="S107" i="8" s="1"/>
  <c r="E107" i="8"/>
  <c r="D107" i="8"/>
  <c r="C107" i="8"/>
  <c r="T106" i="8"/>
  <c r="V106" i="8" s="1"/>
  <c r="J106" i="8"/>
  <c r="Q106" i="8" s="1"/>
  <c r="S106" i="8" s="1"/>
  <c r="E106" i="8"/>
  <c r="D106" i="8"/>
  <c r="C106" i="8"/>
  <c r="T105" i="8"/>
  <c r="J105" i="8"/>
  <c r="Q105" i="8" s="1"/>
  <c r="S105" i="8" s="1"/>
  <c r="E105" i="8"/>
  <c r="D105" i="8"/>
  <c r="C105" i="8"/>
  <c r="T104" i="8"/>
  <c r="Y104" i="8" s="1"/>
  <c r="J104" i="8"/>
  <c r="E104" i="8"/>
  <c r="D104" i="8"/>
  <c r="C104" i="8"/>
  <c r="T103" i="8"/>
  <c r="V103" i="8" s="1"/>
  <c r="J103" i="8"/>
  <c r="Q103" i="8" s="1"/>
  <c r="S103" i="8" s="1"/>
  <c r="E103" i="8"/>
  <c r="D103" i="8"/>
  <c r="C103" i="8"/>
  <c r="U102" i="8"/>
  <c r="T102" i="8"/>
  <c r="J102" i="8"/>
  <c r="E102" i="8"/>
  <c r="D102" i="8"/>
  <c r="C102" i="8"/>
  <c r="R101" i="8"/>
  <c r="O101" i="8"/>
  <c r="N101" i="8"/>
  <c r="M101" i="8"/>
  <c r="L101" i="8"/>
  <c r="K101" i="8"/>
  <c r="I101" i="8"/>
  <c r="T100" i="8"/>
  <c r="J100" i="8"/>
  <c r="Q100" i="8" s="1"/>
  <c r="S100" i="8" s="1"/>
  <c r="E100" i="8"/>
  <c r="D100" i="8"/>
  <c r="C100" i="8"/>
  <c r="T99" i="8"/>
  <c r="Y99" i="8" s="1"/>
  <c r="J99" i="8"/>
  <c r="Q99" i="8" s="1"/>
  <c r="S99" i="8" s="1"/>
  <c r="E99" i="8"/>
  <c r="D99" i="8"/>
  <c r="C99" i="8"/>
  <c r="T98" i="8"/>
  <c r="Y98" i="8" s="1"/>
  <c r="J98" i="8"/>
  <c r="Q98" i="8"/>
  <c r="S98" i="8" s="1"/>
  <c r="E98" i="8"/>
  <c r="D98" i="8"/>
  <c r="C98" i="8"/>
  <c r="T97" i="8"/>
  <c r="V97" i="8" s="1"/>
  <c r="J97" i="8"/>
  <c r="Q97" i="8" s="1"/>
  <c r="S97" i="8" s="1"/>
  <c r="E97" i="8"/>
  <c r="D97" i="8"/>
  <c r="C97" i="8"/>
  <c r="T96" i="8"/>
  <c r="Y96" i="8" s="1"/>
  <c r="J96" i="8"/>
  <c r="E96" i="8"/>
  <c r="D96" i="8"/>
  <c r="C96" i="8"/>
  <c r="U95" i="8"/>
  <c r="R95" i="8"/>
  <c r="O95" i="8"/>
  <c r="N95" i="8"/>
  <c r="M95" i="8"/>
  <c r="L95" i="8"/>
  <c r="K95" i="8"/>
  <c r="I95" i="8"/>
  <c r="U94" i="8"/>
  <c r="X94" i="8" s="1"/>
  <c r="T94" i="8"/>
  <c r="J94" i="8"/>
  <c r="Q94" i="8" s="1"/>
  <c r="S94" i="8" s="1"/>
  <c r="E94" i="8"/>
  <c r="D94" i="8"/>
  <c r="C94" i="8"/>
  <c r="U93" i="8"/>
  <c r="X93" i="8" s="1"/>
  <c r="J93" i="8"/>
  <c r="Q93" i="8" s="1"/>
  <c r="S93" i="8" s="1"/>
  <c r="E93" i="8"/>
  <c r="D93" i="8"/>
  <c r="C93" i="8"/>
  <c r="U92" i="8"/>
  <c r="T92" i="8" s="1"/>
  <c r="J92" i="8"/>
  <c r="Q92" i="8" s="1"/>
  <c r="S92" i="8" s="1"/>
  <c r="E92" i="8"/>
  <c r="D92" i="8"/>
  <c r="C92" i="8"/>
  <c r="U91" i="8"/>
  <c r="X91" i="8" s="1"/>
  <c r="J91" i="8"/>
  <c r="Q91" i="8" s="1"/>
  <c r="S91" i="8" s="1"/>
  <c r="E91" i="8"/>
  <c r="D91" i="8"/>
  <c r="C91" i="8"/>
  <c r="U90" i="8"/>
  <c r="T90" i="8" s="1"/>
  <c r="V90" i="8" s="1"/>
  <c r="J90" i="8"/>
  <c r="Q90" i="8" s="1"/>
  <c r="S90" i="8" s="1"/>
  <c r="E90" i="8"/>
  <c r="D90" i="8"/>
  <c r="C90" i="8"/>
  <c r="U89" i="8"/>
  <c r="J89" i="8"/>
  <c r="Q89" i="8" s="1"/>
  <c r="S89" i="8" s="1"/>
  <c r="E89" i="8"/>
  <c r="D89" i="8"/>
  <c r="C89" i="8"/>
  <c r="U88" i="8"/>
  <c r="T88" i="8" s="1"/>
  <c r="J88" i="8"/>
  <c r="Q88" i="8" s="1"/>
  <c r="S88" i="8" s="1"/>
  <c r="E88" i="8"/>
  <c r="D88" i="8"/>
  <c r="C88" i="8"/>
  <c r="U87" i="8"/>
  <c r="T87" i="8" s="1"/>
  <c r="V87" i="8" s="1"/>
  <c r="J87" i="8"/>
  <c r="Q87" i="8" s="1"/>
  <c r="S87" i="8" s="1"/>
  <c r="E87" i="8"/>
  <c r="D87" i="8"/>
  <c r="C87" i="8"/>
  <c r="U86" i="8"/>
  <c r="X86" i="8" s="1"/>
  <c r="J86" i="8"/>
  <c r="Q86" i="8" s="1"/>
  <c r="S86" i="8" s="1"/>
  <c r="E86" i="8"/>
  <c r="D86" i="8"/>
  <c r="C86" i="8"/>
  <c r="U85" i="8"/>
  <c r="X85" i="8" s="1"/>
  <c r="J85" i="8"/>
  <c r="Q85" i="8" s="1"/>
  <c r="S85" i="8" s="1"/>
  <c r="E85" i="8"/>
  <c r="D85" i="8"/>
  <c r="C85" i="8"/>
  <c r="U84" i="8"/>
  <c r="X84" i="8" s="1"/>
  <c r="J84" i="8"/>
  <c r="Q84" i="8" s="1"/>
  <c r="S84" i="8" s="1"/>
  <c r="E84" i="8"/>
  <c r="D84" i="8"/>
  <c r="C84" i="8"/>
  <c r="U83" i="8"/>
  <c r="X83" i="8" s="1"/>
  <c r="J83" i="8"/>
  <c r="Q83" i="8" s="1"/>
  <c r="S83" i="8" s="1"/>
  <c r="E83" i="8"/>
  <c r="D83" i="8"/>
  <c r="C83" i="8"/>
  <c r="U82" i="8"/>
  <c r="T82" i="8" s="1"/>
  <c r="V82" i="8" s="1"/>
  <c r="J82" i="8"/>
  <c r="Q82" i="8" s="1"/>
  <c r="S82" i="8" s="1"/>
  <c r="E82" i="8"/>
  <c r="D82" i="8"/>
  <c r="C82" i="8"/>
  <c r="U81" i="8"/>
  <c r="J81" i="8"/>
  <c r="Q81" i="8" s="1"/>
  <c r="S81" i="8" s="1"/>
  <c r="E81" i="8"/>
  <c r="D81" i="8"/>
  <c r="C81" i="8"/>
  <c r="U80" i="8"/>
  <c r="T80" i="8" s="1"/>
  <c r="V80" i="8" s="1"/>
  <c r="J80" i="8"/>
  <c r="Q80" i="8" s="1"/>
  <c r="S80" i="8" s="1"/>
  <c r="E80" i="8"/>
  <c r="D80" i="8"/>
  <c r="C80" i="8"/>
  <c r="U79" i="8"/>
  <c r="T79" i="8" s="1"/>
  <c r="J79" i="8"/>
  <c r="Q79" i="8" s="1"/>
  <c r="S79" i="8" s="1"/>
  <c r="E79" i="8"/>
  <c r="D79" i="8"/>
  <c r="C79" i="8"/>
  <c r="U78" i="8"/>
  <c r="T78" i="8" s="1"/>
  <c r="J78" i="8"/>
  <c r="Q78" i="8" s="1"/>
  <c r="S78" i="8" s="1"/>
  <c r="E78" i="8"/>
  <c r="D78" i="8"/>
  <c r="C78" i="8"/>
  <c r="U77" i="8"/>
  <c r="T77" i="8" s="1"/>
  <c r="J77" i="8"/>
  <c r="Q77" i="8" s="1"/>
  <c r="S77" i="8" s="1"/>
  <c r="E77" i="8"/>
  <c r="D77" i="8"/>
  <c r="C77" i="8"/>
  <c r="U76" i="8"/>
  <c r="X76" i="8" s="1"/>
  <c r="J76" i="8"/>
  <c r="Q76" i="8" s="1"/>
  <c r="S76" i="8" s="1"/>
  <c r="E76" i="8"/>
  <c r="D76" i="8"/>
  <c r="C76" i="8"/>
  <c r="U75" i="8"/>
  <c r="X75" i="8" s="1"/>
  <c r="J75" i="8"/>
  <c r="Q75" i="8" s="1"/>
  <c r="S75" i="8" s="1"/>
  <c r="E75" i="8"/>
  <c r="D75" i="8"/>
  <c r="C75" i="8"/>
  <c r="U74" i="8"/>
  <c r="J74" i="8"/>
  <c r="Q74" i="8"/>
  <c r="S74" i="8" s="1"/>
  <c r="E74" i="8"/>
  <c r="D74" i="8"/>
  <c r="C74" i="8"/>
  <c r="U73" i="8"/>
  <c r="T73" i="8" s="1"/>
  <c r="J73" i="8"/>
  <c r="Q73" i="8" s="1"/>
  <c r="S73" i="8" s="1"/>
  <c r="E73" i="8"/>
  <c r="D73" i="8"/>
  <c r="C73" i="8"/>
  <c r="U72" i="8"/>
  <c r="T72" i="8" s="1"/>
  <c r="J72" i="8"/>
  <c r="Q72" i="8" s="1"/>
  <c r="S72" i="8" s="1"/>
  <c r="E72" i="8"/>
  <c r="D72" i="8"/>
  <c r="C72" i="8"/>
  <c r="U71" i="8"/>
  <c r="X71" i="8" s="1"/>
  <c r="J71" i="8"/>
  <c r="Q71" i="8" s="1"/>
  <c r="S71" i="8" s="1"/>
  <c r="E71" i="8"/>
  <c r="D71" i="8"/>
  <c r="C71" i="8"/>
  <c r="U70" i="8"/>
  <c r="T70" i="8" s="1"/>
  <c r="V70" i="8" s="1"/>
  <c r="J70" i="8"/>
  <c r="Q70" i="8" s="1"/>
  <c r="S70" i="8" s="1"/>
  <c r="E70" i="8"/>
  <c r="D70" i="8"/>
  <c r="C70" i="8"/>
  <c r="U69" i="8"/>
  <c r="T69" i="8" s="1"/>
  <c r="X69" i="8"/>
  <c r="J69" i="8"/>
  <c r="E69" i="8"/>
  <c r="D69" i="8"/>
  <c r="C69" i="8"/>
  <c r="U68" i="8"/>
  <c r="J68" i="8"/>
  <c r="Q68" i="8" s="1"/>
  <c r="S68" i="8" s="1"/>
  <c r="E68" i="8"/>
  <c r="D68" i="8"/>
  <c r="C68" i="8"/>
  <c r="U67" i="8"/>
  <c r="T67" i="8" s="1"/>
  <c r="J67" i="8"/>
  <c r="Q67" i="8" s="1"/>
  <c r="S67" i="8" s="1"/>
  <c r="E67" i="8"/>
  <c r="D67" i="8"/>
  <c r="C67" i="8"/>
  <c r="AC66" i="8"/>
  <c r="AB66" i="8"/>
  <c r="AA66" i="8"/>
  <c r="R66" i="8"/>
  <c r="O66" i="8"/>
  <c r="N66" i="8"/>
  <c r="M66" i="8"/>
  <c r="L66" i="8"/>
  <c r="K66" i="8"/>
  <c r="I66" i="8"/>
  <c r="T65" i="8"/>
  <c r="V65" i="8" s="1"/>
  <c r="J65" i="8"/>
  <c r="Q65" i="8" s="1"/>
  <c r="S65" i="8" s="1"/>
  <c r="E65" i="8"/>
  <c r="D65" i="8"/>
  <c r="C65" i="8"/>
  <c r="T64" i="8"/>
  <c r="Y64" i="8"/>
  <c r="J64" i="8"/>
  <c r="Q64" i="8" s="1"/>
  <c r="S64" i="8" s="1"/>
  <c r="E64" i="8"/>
  <c r="D64" i="8"/>
  <c r="C64" i="8"/>
  <c r="T63" i="8"/>
  <c r="J63" i="8"/>
  <c r="Q63" i="8" s="1"/>
  <c r="S63" i="8" s="1"/>
  <c r="E63" i="8"/>
  <c r="D63" i="8"/>
  <c r="C63" i="8"/>
  <c r="T62" i="8"/>
  <c r="Y62" i="8" s="1"/>
  <c r="J62" i="8"/>
  <c r="Q62" i="8" s="1"/>
  <c r="S62" i="8" s="1"/>
  <c r="E62" i="8"/>
  <c r="D62" i="8"/>
  <c r="C62" i="8"/>
  <c r="T61" i="8"/>
  <c r="J61" i="8"/>
  <c r="Q61" i="8" s="1"/>
  <c r="S61" i="8" s="1"/>
  <c r="E61" i="8"/>
  <c r="D61" i="8"/>
  <c r="C61" i="8"/>
  <c r="T60" i="8"/>
  <c r="V60" i="8" s="1"/>
  <c r="J60" i="8"/>
  <c r="Q60" i="8" s="1"/>
  <c r="S60" i="8" s="1"/>
  <c r="E60" i="8"/>
  <c r="D60" i="8"/>
  <c r="C60" i="8"/>
  <c r="T59" i="8"/>
  <c r="J59" i="8"/>
  <c r="Q59" i="8"/>
  <c r="S59" i="8" s="1"/>
  <c r="E59" i="8"/>
  <c r="D59" i="8"/>
  <c r="C59" i="8"/>
  <c r="T58" i="8"/>
  <c r="V58" i="8" s="1"/>
  <c r="J58" i="8"/>
  <c r="Q58" i="8" s="1"/>
  <c r="S58" i="8" s="1"/>
  <c r="E58" i="8"/>
  <c r="D58" i="8"/>
  <c r="C58" i="8"/>
  <c r="T57" i="8"/>
  <c r="V57" i="8" s="1"/>
  <c r="J57" i="8"/>
  <c r="Q57" i="8" s="1"/>
  <c r="S57" i="8" s="1"/>
  <c r="E57" i="8"/>
  <c r="D57" i="8"/>
  <c r="C57" i="8"/>
  <c r="T56" i="8"/>
  <c r="V56" i="8" s="1"/>
  <c r="J56" i="8"/>
  <c r="Q56" i="8" s="1"/>
  <c r="S56" i="8" s="1"/>
  <c r="E56" i="8"/>
  <c r="D56" i="8"/>
  <c r="C56" i="8"/>
  <c r="T55" i="8"/>
  <c r="V55" i="8" s="1"/>
  <c r="J55" i="8"/>
  <c r="Q55" i="8"/>
  <c r="S55" i="8" s="1"/>
  <c r="E55" i="8"/>
  <c r="D55" i="8"/>
  <c r="C55" i="8"/>
  <c r="T54" i="8"/>
  <c r="Y54" i="8" s="1"/>
  <c r="J54" i="8"/>
  <c r="Q54" i="8" s="1"/>
  <c r="S54" i="8" s="1"/>
  <c r="E54" i="8"/>
  <c r="D54" i="8"/>
  <c r="C54" i="8"/>
  <c r="T53" i="8"/>
  <c r="V53" i="8" s="1"/>
  <c r="J53" i="8"/>
  <c r="Q53" i="8" s="1"/>
  <c r="S53" i="8" s="1"/>
  <c r="E53" i="8"/>
  <c r="D53" i="8"/>
  <c r="C53" i="8"/>
  <c r="T52" i="8"/>
  <c r="V52" i="8" s="1"/>
  <c r="J52" i="8"/>
  <c r="Q52" i="8" s="1"/>
  <c r="S52" i="8" s="1"/>
  <c r="E52" i="8"/>
  <c r="D52" i="8"/>
  <c r="C52" i="8"/>
  <c r="T51" i="8"/>
  <c r="Y51" i="8" s="1"/>
  <c r="J51" i="8"/>
  <c r="Q51" i="8" s="1"/>
  <c r="S51" i="8" s="1"/>
  <c r="E51" i="8"/>
  <c r="D51" i="8"/>
  <c r="C51" i="8"/>
  <c r="T50" i="8"/>
  <c r="V50" i="8" s="1"/>
  <c r="J50" i="8"/>
  <c r="Q50" i="8"/>
  <c r="S50" i="8" s="1"/>
  <c r="E50" i="8"/>
  <c r="D50" i="8"/>
  <c r="C50" i="8"/>
  <c r="T49" i="8"/>
  <c r="V49" i="8" s="1"/>
  <c r="J49" i="8"/>
  <c r="Q49" i="8" s="1"/>
  <c r="S49" i="8" s="1"/>
  <c r="E49" i="8"/>
  <c r="D49" i="8"/>
  <c r="C49" i="8"/>
  <c r="T48" i="8"/>
  <c r="V48" i="8" s="1"/>
  <c r="J48" i="8"/>
  <c r="Q48" i="8" s="1"/>
  <c r="S48" i="8" s="1"/>
  <c r="E48" i="8"/>
  <c r="D48" i="8"/>
  <c r="C48" i="8"/>
  <c r="T47" i="8"/>
  <c r="V47" i="8" s="1"/>
  <c r="J47" i="8"/>
  <c r="Q47" i="8" s="1"/>
  <c r="S47" i="8" s="1"/>
  <c r="E47" i="8"/>
  <c r="D47" i="8"/>
  <c r="C47" i="8"/>
  <c r="T46" i="8"/>
  <c r="V46" i="8" s="1"/>
  <c r="J46" i="8"/>
  <c r="Q46" i="8" s="1"/>
  <c r="S46" i="8" s="1"/>
  <c r="E46" i="8"/>
  <c r="D46" i="8"/>
  <c r="C46" i="8"/>
  <c r="T45" i="8"/>
  <c r="V45" i="8" s="1"/>
  <c r="J45" i="8"/>
  <c r="Q45" i="8" s="1"/>
  <c r="S45" i="8" s="1"/>
  <c r="E45" i="8"/>
  <c r="D45" i="8"/>
  <c r="C45" i="8"/>
  <c r="T44" i="8"/>
  <c r="V44" i="8" s="1"/>
  <c r="J44" i="8"/>
  <c r="Q44" i="8" s="1"/>
  <c r="S44" i="8" s="1"/>
  <c r="E44" i="8"/>
  <c r="D44" i="8"/>
  <c r="C44" i="8"/>
  <c r="T43" i="8"/>
  <c r="V43" i="8"/>
  <c r="J43" i="8"/>
  <c r="Q43" i="8" s="1"/>
  <c r="S43" i="8" s="1"/>
  <c r="E43" i="8"/>
  <c r="D43" i="8"/>
  <c r="C43" i="8"/>
  <c r="T42" i="8"/>
  <c r="Y42" i="8" s="1"/>
  <c r="J42" i="8"/>
  <c r="Q42" i="8" s="1"/>
  <c r="S42" i="8" s="1"/>
  <c r="E42" i="8"/>
  <c r="D42" i="8"/>
  <c r="C42" i="8"/>
  <c r="T41" i="8"/>
  <c r="V41" i="8" s="1"/>
  <c r="J41" i="8"/>
  <c r="Q41" i="8" s="1"/>
  <c r="S41" i="8" s="1"/>
  <c r="E41" i="8"/>
  <c r="D41" i="8"/>
  <c r="C41" i="8"/>
  <c r="T40" i="8"/>
  <c r="V40" i="8" s="1"/>
  <c r="J40" i="8"/>
  <c r="Q40" i="8" s="1"/>
  <c r="S40" i="8" s="1"/>
  <c r="E40" i="8"/>
  <c r="D40" i="8"/>
  <c r="C40" i="8"/>
  <c r="U39" i="8"/>
  <c r="R39" i="8"/>
  <c r="O39" i="8"/>
  <c r="N39" i="8"/>
  <c r="M39" i="8"/>
  <c r="L39" i="8"/>
  <c r="K39" i="8"/>
  <c r="I39" i="8"/>
  <c r="T38" i="8"/>
  <c r="Q38" i="8"/>
  <c r="S38" i="8" s="1"/>
  <c r="S37" i="8" s="1"/>
  <c r="E38" i="8"/>
  <c r="D38" i="8"/>
  <c r="C38" i="8"/>
  <c r="U37" i="8"/>
  <c r="R37" i="8"/>
  <c r="O37" i="8"/>
  <c r="N37" i="8"/>
  <c r="M37" i="8"/>
  <c r="L37" i="8"/>
  <c r="K37" i="8"/>
  <c r="J37" i="8"/>
  <c r="I37" i="8"/>
  <c r="Q36" i="8"/>
  <c r="S36" i="8" s="1"/>
  <c r="T36" i="8" s="1"/>
  <c r="E36" i="8"/>
  <c r="D36" i="8"/>
  <c r="C36" i="8"/>
  <c r="Q35" i="8"/>
  <c r="S35" i="8" s="1"/>
  <c r="T35" i="8" s="1"/>
  <c r="E35" i="8"/>
  <c r="D35" i="8"/>
  <c r="C35" i="8"/>
  <c r="Q34" i="8"/>
  <c r="S34" i="8" s="1"/>
  <c r="T34" i="8" s="1"/>
  <c r="E34" i="8"/>
  <c r="D34" i="8"/>
  <c r="C34" i="8"/>
  <c r="Q33" i="8"/>
  <c r="S33" i="8" s="1"/>
  <c r="T33" i="8" s="1"/>
  <c r="E33" i="8"/>
  <c r="D33" i="8"/>
  <c r="C33" i="8"/>
  <c r="Q32" i="8"/>
  <c r="S32" i="8"/>
  <c r="T32" i="8" s="1"/>
  <c r="V32" i="8" s="1"/>
  <c r="E32" i="8"/>
  <c r="D32" i="8"/>
  <c r="C32" i="8"/>
  <c r="Q31" i="8"/>
  <c r="S31" i="8" s="1"/>
  <c r="T31" i="8" s="1"/>
  <c r="E31" i="8"/>
  <c r="D31" i="8"/>
  <c r="C31" i="8"/>
  <c r="Q30" i="8"/>
  <c r="S30" i="8" s="1"/>
  <c r="T30" i="8" s="1"/>
  <c r="E30" i="8"/>
  <c r="D30" i="8"/>
  <c r="C30" i="8"/>
  <c r="Q29" i="8"/>
  <c r="S29" i="8" s="1"/>
  <c r="T29" i="8" s="1"/>
  <c r="E29" i="8"/>
  <c r="D29" i="8"/>
  <c r="C29" i="8"/>
  <c r="Q28" i="8"/>
  <c r="S28" i="8" s="1"/>
  <c r="T28" i="8" s="1"/>
  <c r="V28" i="8" s="1"/>
  <c r="E28" i="8"/>
  <c r="D28" i="8"/>
  <c r="C28" i="8"/>
  <c r="Q27" i="8"/>
  <c r="S27" i="8"/>
  <c r="T27" i="8" s="1"/>
  <c r="V27" i="8" s="1"/>
  <c r="E27" i="8"/>
  <c r="D27" i="8"/>
  <c r="C27" i="8"/>
  <c r="Q26" i="8"/>
  <c r="S26" i="8" s="1"/>
  <c r="T26" i="8" s="1"/>
  <c r="V26" i="8" s="1"/>
  <c r="E26" i="8"/>
  <c r="D26" i="8"/>
  <c r="C26" i="8"/>
  <c r="Q25" i="8"/>
  <c r="S25" i="8" s="1"/>
  <c r="T25" i="8" s="1"/>
  <c r="V25" i="8" s="1"/>
  <c r="E25" i="8"/>
  <c r="D25" i="8"/>
  <c r="C25" i="8"/>
  <c r="Q24" i="8"/>
  <c r="S24" i="8" s="1"/>
  <c r="T24" i="8" s="1"/>
  <c r="E24" i="8"/>
  <c r="D24" i="8"/>
  <c r="C24" i="8"/>
  <c r="Q23" i="8"/>
  <c r="S23" i="8" s="1"/>
  <c r="T23" i="8" s="1"/>
  <c r="E23" i="8"/>
  <c r="D23" i="8"/>
  <c r="C23" i="8"/>
  <c r="Q22" i="8"/>
  <c r="S22" i="8" s="1"/>
  <c r="T22" i="8" s="1"/>
  <c r="Y22" i="8" s="1"/>
  <c r="E22" i="8"/>
  <c r="D22" i="8"/>
  <c r="C22" i="8"/>
  <c r="Q21" i="8"/>
  <c r="S21" i="8" s="1"/>
  <c r="T21" i="8" s="1"/>
  <c r="E21" i="8"/>
  <c r="D21" i="8"/>
  <c r="C21" i="8"/>
  <c r="Q20" i="8"/>
  <c r="S20" i="8" s="1"/>
  <c r="T20" i="8" s="1"/>
  <c r="E20" i="8"/>
  <c r="D20" i="8"/>
  <c r="C20" i="8"/>
  <c r="Q19" i="8"/>
  <c r="S19" i="8" s="1"/>
  <c r="T19" i="8" s="1"/>
  <c r="E19" i="8"/>
  <c r="D19" i="8"/>
  <c r="C19" i="8"/>
  <c r="Q18" i="8"/>
  <c r="S18" i="8"/>
  <c r="T18" i="8" s="1"/>
  <c r="V18" i="8" s="1"/>
  <c r="E18" i="8"/>
  <c r="D18" i="8"/>
  <c r="C18" i="8"/>
  <c r="Q17" i="8"/>
  <c r="S17" i="8" s="1"/>
  <c r="T17" i="8" s="1"/>
  <c r="E17" i="8"/>
  <c r="D17" i="8"/>
  <c r="C17" i="8"/>
  <c r="Q16" i="8"/>
  <c r="S16" i="8" s="1"/>
  <c r="T16" i="8"/>
  <c r="V16" i="8" s="1"/>
  <c r="E16" i="8"/>
  <c r="D16" i="8"/>
  <c r="C16" i="8"/>
  <c r="Q15" i="8"/>
  <c r="S15" i="8" s="1"/>
  <c r="T15" i="8" s="1"/>
  <c r="E15" i="8"/>
  <c r="D15" i="8"/>
  <c r="C15" i="8"/>
  <c r="Q14" i="8"/>
  <c r="S14" i="8" s="1"/>
  <c r="E14" i="8"/>
  <c r="D14" i="8"/>
  <c r="C14" i="8"/>
  <c r="Q13" i="8"/>
  <c r="S13" i="8" s="1"/>
  <c r="T13" i="8" s="1"/>
  <c r="E13" i="8"/>
  <c r="D13" i="8"/>
  <c r="C13" i="8"/>
  <c r="U11" i="8"/>
  <c r="R11" i="8"/>
  <c r="R10" i="8" s="1"/>
  <c r="O11" i="8"/>
  <c r="N11" i="8"/>
  <c r="L11" i="8"/>
  <c r="K11" i="8"/>
  <c r="J11" i="8"/>
  <c r="I11" i="8"/>
  <c r="T205" i="3"/>
  <c r="Y205" i="3" s="1"/>
  <c r="Y204" i="3" s="1"/>
  <c r="V205" i="3"/>
  <c r="V204" i="3" s="1"/>
  <c r="T200" i="3"/>
  <c r="Y200" i="3" s="1"/>
  <c r="V200" i="3"/>
  <c r="T199" i="3"/>
  <c r="V199" i="3" s="1"/>
  <c r="T198" i="3"/>
  <c r="Y198" i="3" s="1"/>
  <c r="V198" i="3"/>
  <c r="T196" i="3"/>
  <c r="T195" i="3"/>
  <c r="Y195" i="3" s="1"/>
  <c r="V195" i="3"/>
  <c r="T189" i="3"/>
  <c r="V189" i="3" s="1"/>
  <c r="T188" i="3"/>
  <c r="Y188" i="3" s="1"/>
  <c r="V188" i="3"/>
  <c r="T187" i="3"/>
  <c r="T186" i="3"/>
  <c r="Y186" i="3" s="1"/>
  <c r="V186" i="3"/>
  <c r="T185" i="3"/>
  <c r="V185" i="3" s="1"/>
  <c r="T184" i="3"/>
  <c r="Y184" i="3" s="1"/>
  <c r="V184" i="3"/>
  <c r="T183" i="3"/>
  <c r="T182" i="3"/>
  <c r="Y182" i="3" s="1"/>
  <c r="V182" i="3"/>
  <c r="T181" i="3"/>
  <c r="V181" i="3" s="1"/>
  <c r="T166" i="3"/>
  <c r="Y166" i="3" s="1"/>
  <c r="V166" i="3"/>
  <c r="T137" i="3"/>
  <c r="T136" i="3"/>
  <c r="V136" i="3"/>
  <c r="T135" i="3"/>
  <c r="Y135" i="3" s="1"/>
  <c r="T134" i="3"/>
  <c r="Y134" i="3" s="1"/>
  <c r="V134" i="3"/>
  <c r="T133" i="3"/>
  <c r="T132" i="3"/>
  <c r="Y132" i="3" s="1"/>
  <c r="V132" i="3"/>
  <c r="T131" i="3"/>
  <c r="Y131" i="3" s="1"/>
  <c r="T130" i="3"/>
  <c r="Y130" i="3" s="1"/>
  <c r="V130" i="3"/>
  <c r="T129" i="3"/>
  <c r="T128" i="3"/>
  <c r="Y128" i="3" s="1"/>
  <c r="V128" i="3"/>
  <c r="T127" i="3"/>
  <c r="Y127" i="3" s="1"/>
  <c r="T126" i="3"/>
  <c r="Y126" i="3" s="1"/>
  <c r="V126" i="3"/>
  <c r="T111" i="3"/>
  <c r="T109" i="3"/>
  <c r="V109" i="3" s="1"/>
  <c r="T108" i="3"/>
  <c r="Y108" i="3" s="1"/>
  <c r="V108" i="3"/>
  <c r="T107" i="3"/>
  <c r="T106" i="3"/>
  <c r="Y106" i="3" s="1"/>
  <c r="V106" i="3"/>
  <c r="T105" i="3"/>
  <c r="V105" i="3" s="1"/>
  <c r="T104" i="3"/>
  <c r="Y104" i="3" s="1"/>
  <c r="V104" i="3"/>
  <c r="T101" i="3"/>
  <c r="Y101" i="3" s="1"/>
  <c r="V101" i="3"/>
  <c r="T100" i="3"/>
  <c r="V100" i="3"/>
  <c r="T99" i="3"/>
  <c r="Y99" i="3" s="1"/>
  <c r="T98" i="3"/>
  <c r="Y98" i="3" s="1"/>
  <c r="V98" i="3"/>
  <c r="T97" i="3"/>
  <c r="Y97" i="3" s="1"/>
  <c r="V97" i="3"/>
  <c r="T66" i="3"/>
  <c r="Y66" i="3" s="1"/>
  <c r="V66" i="3"/>
  <c r="T65" i="3"/>
  <c r="Y65" i="3" s="1"/>
  <c r="T64" i="3"/>
  <c r="Y64" i="3" s="1"/>
  <c r="V64" i="3"/>
  <c r="T63" i="3"/>
  <c r="T62" i="3"/>
  <c r="V62" i="3"/>
  <c r="T61" i="3"/>
  <c r="Y61" i="3" s="1"/>
  <c r="T60" i="3"/>
  <c r="Y60" i="3" s="1"/>
  <c r="V60" i="3"/>
  <c r="T59" i="3"/>
  <c r="Y59" i="3" s="1"/>
  <c r="V59" i="3"/>
  <c r="T58" i="3"/>
  <c r="Y58" i="3" s="1"/>
  <c r="V58" i="3"/>
  <c r="T57" i="3"/>
  <c r="Y57" i="3" s="1"/>
  <c r="T56" i="3"/>
  <c r="Y56" i="3" s="1"/>
  <c r="V56" i="3"/>
  <c r="T55" i="3"/>
  <c r="Y55" i="3" s="1"/>
  <c r="V55" i="3"/>
  <c r="T54" i="3"/>
  <c r="V54" i="3"/>
  <c r="T53" i="3"/>
  <c r="Y53" i="3" s="1"/>
  <c r="T52" i="3"/>
  <c r="Y52" i="3" s="1"/>
  <c r="V52" i="3"/>
  <c r="T51" i="3"/>
  <c r="Y51" i="3" s="1"/>
  <c r="T50" i="3"/>
  <c r="Y50" i="3" s="1"/>
  <c r="V50" i="3"/>
  <c r="T49" i="3"/>
  <c r="Y49" i="3" s="1"/>
  <c r="T48" i="3"/>
  <c r="Y48" i="3" s="1"/>
  <c r="V48" i="3"/>
  <c r="T47" i="3"/>
  <c r="Y47" i="3" s="1"/>
  <c r="V47" i="3"/>
  <c r="T46" i="3"/>
  <c r="V46" i="3"/>
  <c r="T45" i="3"/>
  <c r="Y45" i="3" s="1"/>
  <c r="T44" i="3"/>
  <c r="Y44" i="3" s="1"/>
  <c r="V44" i="3"/>
  <c r="T43" i="3"/>
  <c r="T42" i="3"/>
  <c r="V42" i="3"/>
  <c r="T41" i="3"/>
  <c r="Y41" i="3" s="1"/>
  <c r="T39" i="3"/>
  <c r="Y39" i="3" s="1"/>
  <c r="Y38" i="3" s="1"/>
  <c r="V39" i="3"/>
  <c r="V38" i="3"/>
  <c r="T164" i="3"/>
  <c r="J205" i="3"/>
  <c r="Q205" i="3"/>
  <c r="S205" i="3" s="1"/>
  <c r="S204" i="3" s="1"/>
  <c r="J203" i="3"/>
  <c r="Q203" i="3"/>
  <c r="J202" i="3"/>
  <c r="Q202" i="3" s="1"/>
  <c r="S202" i="3" s="1"/>
  <c r="J200" i="3"/>
  <c r="J199" i="3"/>
  <c r="Q199" i="3" s="1"/>
  <c r="J198" i="3"/>
  <c r="J196" i="3"/>
  <c r="J195" i="3"/>
  <c r="J193" i="3"/>
  <c r="Q193" i="3" s="1"/>
  <c r="S193" i="3" s="1"/>
  <c r="J192" i="3"/>
  <c r="J191" i="3"/>
  <c r="Q191" i="3" s="1"/>
  <c r="S191" i="3" s="1"/>
  <c r="J189" i="3"/>
  <c r="Q189" i="3" s="1"/>
  <c r="S189" i="3" s="1"/>
  <c r="J188" i="3"/>
  <c r="Q188" i="3" s="1"/>
  <c r="S188" i="3" s="1"/>
  <c r="J187" i="3"/>
  <c r="J186" i="3"/>
  <c r="Q186" i="3"/>
  <c r="S186" i="3"/>
  <c r="J185" i="3"/>
  <c r="J184" i="3"/>
  <c r="Q184" i="3" s="1"/>
  <c r="S184" i="3" s="1"/>
  <c r="J183" i="3"/>
  <c r="Q183" i="3"/>
  <c r="J182" i="3"/>
  <c r="Q182" i="3" s="1"/>
  <c r="S182" i="3" s="1"/>
  <c r="J181" i="3"/>
  <c r="Q181" i="3" s="1"/>
  <c r="S181" i="3" s="1"/>
  <c r="J170" i="3"/>
  <c r="Q170" i="3"/>
  <c r="J169" i="3"/>
  <c r="J166" i="3"/>
  <c r="Q166" i="3" s="1"/>
  <c r="S166" i="3" s="1"/>
  <c r="J163" i="3"/>
  <c r="Q163" i="3" s="1"/>
  <c r="S163" i="3" s="1"/>
  <c r="J162" i="3"/>
  <c r="Q162" i="3"/>
  <c r="S162" i="3"/>
  <c r="J161" i="3"/>
  <c r="Q161" i="3"/>
  <c r="S161" i="3" s="1"/>
  <c r="J160" i="3"/>
  <c r="Q160" i="3" s="1"/>
  <c r="S160" i="3" s="1"/>
  <c r="J159" i="3"/>
  <c r="Q159" i="3" s="1"/>
  <c r="S159" i="3" s="1"/>
  <c r="J158" i="3"/>
  <c r="Q158" i="3" s="1"/>
  <c r="J157" i="3"/>
  <c r="J155" i="3"/>
  <c r="Q155" i="3"/>
  <c r="S155" i="3"/>
  <c r="J154" i="3"/>
  <c r="Q154" i="3" s="1"/>
  <c r="S154" i="3" s="1"/>
  <c r="J153" i="3"/>
  <c r="Q153" i="3" s="1"/>
  <c r="S153" i="3" s="1"/>
  <c r="J152" i="3"/>
  <c r="Q152" i="3"/>
  <c r="S152" i="3" s="1"/>
  <c r="J151" i="3"/>
  <c r="Q151" i="3"/>
  <c r="S151" i="3" s="1"/>
  <c r="J150" i="3"/>
  <c r="Q150" i="3" s="1"/>
  <c r="S150" i="3" s="1"/>
  <c r="J149" i="3"/>
  <c r="Q149" i="3" s="1"/>
  <c r="S149" i="3" s="1"/>
  <c r="S138" i="3" s="1"/>
  <c r="J148" i="3"/>
  <c r="J147" i="3"/>
  <c r="J146" i="3"/>
  <c r="Q146" i="3" s="1"/>
  <c r="S146" i="3" s="1"/>
  <c r="J145" i="3"/>
  <c r="Q145" i="3"/>
  <c r="S145" i="3" s="1"/>
  <c r="J144" i="3"/>
  <c r="Q144" i="3" s="1"/>
  <c r="S144" i="3" s="1"/>
  <c r="J143" i="3"/>
  <c r="J142" i="3"/>
  <c r="Q142" i="3"/>
  <c r="S142" i="3"/>
  <c r="J141" i="3"/>
  <c r="Q141" i="3"/>
  <c r="J140" i="3"/>
  <c r="J139" i="3"/>
  <c r="Q139" i="3" s="1"/>
  <c r="S139" i="3" s="1"/>
  <c r="J137" i="3"/>
  <c r="Q137" i="3" s="1"/>
  <c r="S137" i="3" s="1"/>
  <c r="J136" i="3"/>
  <c r="Q136" i="3" s="1"/>
  <c r="S136" i="3" s="1"/>
  <c r="J135" i="3"/>
  <c r="Q135" i="3"/>
  <c r="S135" i="3"/>
  <c r="J134" i="3"/>
  <c r="Q134" i="3" s="1"/>
  <c r="S134" i="3" s="1"/>
  <c r="J133" i="3"/>
  <c r="Q133" i="3" s="1"/>
  <c r="S133" i="3" s="1"/>
  <c r="J132" i="3"/>
  <c r="Q132" i="3"/>
  <c r="S132" i="3" s="1"/>
  <c r="J131" i="3"/>
  <c r="J130" i="3"/>
  <c r="Q130" i="3" s="1"/>
  <c r="S130" i="3" s="1"/>
  <c r="J129" i="3"/>
  <c r="Q129" i="3"/>
  <c r="S129" i="3"/>
  <c r="J128" i="3"/>
  <c r="Q128" i="3" s="1"/>
  <c r="J127" i="3"/>
  <c r="Q127" i="3" s="1"/>
  <c r="S127" i="3" s="1"/>
  <c r="J126" i="3"/>
  <c r="Q126" i="3"/>
  <c r="S126" i="3"/>
  <c r="J111" i="3"/>
  <c r="Q111" i="3" s="1"/>
  <c r="S111" i="3" s="1"/>
  <c r="S110" i="3" s="1"/>
  <c r="J109" i="3"/>
  <c r="J108" i="3"/>
  <c r="Q108" i="3"/>
  <c r="J107" i="3"/>
  <c r="Q107" i="3" s="1"/>
  <c r="S107" i="3" s="1"/>
  <c r="J106" i="3"/>
  <c r="Q106" i="3"/>
  <c r="S106" i="3" s="1"/>
  <c r="J105" i="3"/>
  <c r="Q105" i="3"/>
  <c r="S105" i="3"/>
  <c r="J104" i="3"/>
  <c r="Q104" i="3" s="1"/>
  <c r="S104" i="3" s="1"/>
  <c r="J103" i="3"/>
  <c r="Q103" i="3" s="1"/>
  <c r="S103" i="3" s="1"/>
  <c r="J101" i="3"/>
  <c r="Q101" i="3"/>
  <c r="S101" i="3" s="1"/>
  <c r="J100" i="3"/>
  <c r="J99" i="3"/>
  <c r="J98" i="3"/>
  <c r="Q98" i="3" s="1"/>
  <c r="S98" i="3" s="1"/>
  <c r="J97" i="3"/>
  <c r="Q97" i="3"/>
  <c r="S97" i="3" s="1"/>
  <c r="J95" i="3"/>
  <c r="Q95" i="3"/>
  <c r="S95" i="3"/>
  <c r="J94" i="3"/>
  <c r="Q94" i="3" s="1"/>
  <c r="S94" i="3" s="1"/>
  <c r="J93" i="3"/>
  <c r="Q93" i="3"/>
  <c r="S93" i="3" s="1"/>
  <c r="J92" i="3"/>
  <c r="Q92" i="3"/>
  <c r="S92" i="3" s="1"/>
  <c r="J91" i="3"/>
  <c r="Q91" i="3"/>
  <c r="S91" i="3"/>
  <c r="J90" i="3"/>
  <c r="Q90" i="3" s="1"/>
  <c r="S90" i="3" s="1"/>
  <c r="J89" i="3"/>
  <c r="Q89" i="3"/>
  <c r="S89" i="3"/>
  <c r="J88" i="3"/>
  <c r="Q88" i="3" s="1"/>
  <c r="S88" i="3" s="1"/>
  <c r="J87" i="3"/>
  <c r="J86" i="3"/>
  <c r="Q86" i="3" s="1"/>
  <c r="S86" i="3" s="1"/>
  <c r="J85" i="3"/>
  <c r="Q85" i="3" s="1"/>
  <c r="S85" i="3" s="1"/>
  <c r="J84" i="3"/>
  <c r="Q84" i="3"/>
  <c r="S84" i="3"/>
  <c r="J83" i="3"/>
  <c r="Q83" i="3"/>
  <c r="S83" i="3"/>
  <c r="J82" i="3"/>
  <c r="J81" i="3"/>
  <c r="Q81" i="3"/>
  <c r="S81" i="3"/>
  <c r="J80" i="3"/>
  <c r="Q80" i="3" s="1"/>
  <c r="S80" i="3" s="1"/>
  <c r="J79" i="3"/>
  <c r="Q79" i="3" s="1"/>
  <c r="S79" i="3" s="1"/>
  <c r="J78" i="3"/>
  <c r="Q78" i="3"/>
  <c r="S78" i="3" s="1"/>
  <c r="J77" i="3"/>
  <c r="Q77" i="3"/>
  <c r="S77" i="3"/>
  <c r="J76" i="3"/>
  <c r="Q76" i="3" s="1"/>
  <c r="S76" i="3" s="1"/>
  <c r="J75" i="3"/>
  <c r="Q75" i="3" s="1"/>
  <c r="S75" i="3" s="1"/>
  <c r="J74" i="3"/>
  <c r="J73" i="3"/>
  <c r="Q73" i="3" s="1"/>
  <c r="S73" i="3" s="1"/>
  <c r="J72" i="3"/>
  <c r="Q72" i="3"/>
  <c r="S72" i="3" s="1"/>
  <c r="J71" i="3"/>
  <c r="Q71" i="3"/>
  <c r="S71" i="3"/>
  <c r="J70" i="3"/>
  <c r="Q70" i="3" s="1"/>
  <c r="S70" i="3" s="1"/>
  <c r="J69" i="3"/>
  <c r="Q69" i="3"/>
  <c r="S69" i="3" s="1"/>
  <c r="J68" i="3"/>
  <c r="Q68" i="3"/>
  <c r="J66" i="3"/>
  <c r="Q66" i="3" s="1"/>
  <c r="S66" i="3" s="1"/>
  <c r="J65" i="3"/>
  <c r="Q65" i="3" s="1"/>
  <c r="S65" i="3" s="1"/>
  <c r="S40" i="3" s="1"/>
  <c r="J64" i="3"/>
  <c r="Q64" i="3"/>
  <c r="S64" i="3" s="1"/>
  <c r="J63" i="3"/>
  <c r="Q63" i="3"/>
  <c r="S63" i="3"/>
  <c r="J62" i="3"/>
  <c r="Q62" i="3" s="1"/>
  <c r="S62" i="3" s="1"/>
  <c r="J61" i="3"/>
  <c r="Q61" i="3" s="1"/>
  <c r="S61" i="3" s="1"/>
  <c r="J60" i="3"/>
  <c r="Q60" i="3"/>
  <c r="S60" i="3" s="1"/>
  <c r="J59" i="3"/>
  <c r="Q59" i="3"/>
  <c r="S59" i="3"/>
  <c r="J58" i="3"/>
  <c r="Q58" i="3" s="1"/>
  <c r="S58" i="3" s="1"/>
  <c r="J57" i="3"/>
  <c r="Q57" i="3" s="1"/>
  <c r="S57" i="3" s="1"/>
  <c r="J56" i="3"/>
  <c r="Q56" i="3"/>
  <c r="S56" i="3" s="1"/>
  <c r="J55" i="3"/>
  <c r="Q55" i="3"/>
  <c r="S55" i="3"/>
  <c r="J54" i="3"/>
  <c r="Q54" i="3" s="1"/>
  <c r="S54" i="3" s="1"/>
  <c r="J53" i="3"/>
  <c r="Q53" i="3" s="1"/>
  <c r="S53" i="3" s="1"/>
  <c r="J52" i="3"/>
  <c r="Q52" i="3"/>
  <c r="S52" i="3" s="1"/>
  <c r="J51" i="3"/>
  <c r="Q51" i="3"/>
  <c r="S51" i="3"/>
  <c r="J50" i="3"/>
  <c r="Q50" i="3" s="1"/>
  <c r="S50" i="3" s="1"/>
  <c r="J49" i="3"/>
  <c r="Q49" i="3" s="1"/>
  <c r="S49" i="3" s="1"/>
  <c r="J48" i="3"/>
  <c r="Q48" i="3"/>
  <c r="S48" i="3" s="1"/>
  <c r="J47" i="3"/>
  <c r="Q47" i="3"/>
  <c r="S47" i="3"/>
  <c r="J46" i="3"/>
  <c r="Q46" i="3" s="1"/>
  <c r="S46" i="3" s="1"/>
  <c r="J45" i="3"/>
  <c r="Q45" i="3" s="1"/>
  <c r="S45" i="3" s="1"/>
  <c r="J44" i="3"/>
  <c r="Q44" i="3"/>
  <c r="S44" i="3" s="1"/>
  <c r="J43" i="3"/>
  <c r="Q43" i="3"/>
  <c r="S43" i="3"/>
  <c r="J42" i="3"/>
  <c r="Q42" i="3" s="1"/>
  <c r="S42" i="3" s="1"/>
  <c r="J41" i="3"/>
  <c r="Q41" i="3" s="1"/>
  <c r="S41" i="3" s="1"/>
  <c r="J204" i="7"/>
  <c r="Q204" i="7"/>
  <c r="E204" i="7"/>
  <c r="D204" i="7"/>
  <c r="C204" i="7"/>
  <c r="T203" i="7"/>
  <c r="T170" i="7" s="1"/>
  <c r="R203" i="7"/>
  <c r="P203" i="7"/>
  <c r="O203" i="7"/>
  <c r="N203" i="7"/>
  <c r="M203" i="7"/>
  <c r="L203" i="7"/>
  <c r="K203" i="7"/>
  <c r="J203" i="7"/>
  <c r="I203" i="7"/>
  <c r="T202" i="7"/>
  <c r="J202" i="7" s="1"/>
  <c r="Q202" i="7" s="1"/>
  <c r="S202" i="7" s="1"/>
  <c r="U202" i="7" s="1"/>
  <c r="E202" i="7"/>
  <c r="D202" i="7"/>
  <c r="C202" i="7"/>
  <c r="T201" i="7"/>
  <c r="J201" i="7" s="1"/>
  <c r="E201" i="7"/>
  <c r="D201" i="7"/>
  <c r="C201" i="7"/>
  <c r="X200" i="7"/>
  <c r="W200" i="7"/>
  <c r="T200" i="7"/>
  <c r="R200" i="7"/>
  <c r="P200" i="7"/>
  <c r="O200" i="7"/>
  <c r="N200" i="7"/>
  <c r="M200" i="7"/>
  <c r="L200" i="7"/>
  <c r="K200" i="7"/>
  <c r="I200" i="7"/>
  <c r="Q199" i="7"/>
  <c r="S199" i="7" s="1"/>
  <c r="U199" i="7" s="1"/>
  <c r="E199" i="7"/>
  <c r="D199" i="7"/>
  <c r="C199" i="7"/>
  <c r="S198" i="7"/>
  <c r="U198" i="7" s="1"/>
  <c r="Q198" i="7"/>
  <c r="E198" i="7"/>
  <c r="D198" i="7"/>
  <c r="C198" i="7"/>
  <c r="Q197" i="7"/>
  <c r="S197" i="7"/>
  <c r="E197" i="7"/>
  <c r="D197" i="7"/>
  <c r="C197" i="7"/>
  <c r="T196" i="7"/>
  <c r="R196" i="7"/>
  <c r="Q196" i="7"/>
  <c r="P196" i="7"/>
  <c r="O196" i="7"/>
  <c r="N196" i="7"/>
  <c r="M196" i="7"/>
  <c r="L196" i="7"/>
  <c r="K196" i="7"/>
  <c r="J196" i="7"/>
  <c r="I196" i="7"/>
  <c r="J195" i="7"/>
  <c r="Q195" i="7"/>
  <c r="S195" i="7" s="1"/>
  <c r="E195" i="7"/>
  <c r="D195" i="7"/>
  <c r="C195" i="7"/>
  <c r="S194" i="7"/>
  <c r="U194" i="7" s="1"/>
  <c r="Q194" i="7"/>
  <c r="Q193" i="7"/>
  <c r="J194" i="7"/>
  <c r="E194" i="7"/>
  <c r="D194" i="7"/>
  <c r="C194" i="7"/>
  <c r="T193" i="7"/>
  <c r="R193" i="7"/>
  <c r="P193" i="7"/>
  <c r="O193" i="7"/>
  <c r="N193" i="7"/>
  <c r="M193" i="7"/>
  <c r="L193" i="7"/>
  <c r="K193" i="7"/>
  <c r="J193" i="7"/>
  <c r="I193" i="7"/>
  <c r="T192" i="7"/>
  <c r="J192" i="7"/>
  <c r="Q192" i="7" s="1"/>
  <c r="S192" i="7" s="1"/>
  <c r="U192" i="7" s="1"/>
  <c r="E192" i="7"/>
  <c r="D192" i="7"/>
  <c r="C192" i="7"/>
  <c r="T191" i="7"/>
  <c r="J191" i="7"/>
  <c r="Q191" i="7" s="1"/>
  <c r="S191" i="7" s="1"/>
  <c r="U191" i="7" s="1"/>
  <c r="E191" i="7"/>
  <c r="D191" i="7"/>
  <c r="C191" i="7"/>
  <c r="T190" i="7"/>
  <c r="E190" i="7"/>
  <c r="D190" i="7"/>
  <c r="C190" i="7"/>
  <c r="Z189" i="7"/>
  <c r="Y189" i="7"/>
  <c r="X189" i="7"/>
  <c r="W189" i="7"/>
  <c r="R189" i="7"/>
  <c r="O189" i="7"/>
  <c r="N189" i="7"/>
  <c r="M189" i="7"/>
  <c r="L189" i="7"/>
  <c r="K189" i="7"/>
  <c r="I189" i="7"/>
  <c r="J188" i="7"/>
  <c r="Q188" i="7"/>
  <c r="S188" i="7" s="1"/>
  <c r="U188" i="7" s="1"/>
  <c r="E188" i="7"/>
  <c r="D188" i="7"/>
  <c r="C188" i="7"/>
  <c r="Q187" i="7"/>
  <c r="S187" i="7" s="1"/>
  <c r="U187" i="7"/>
  <c r="J187" i="7"/>
  <c r="E187" i="7"/>
  <c r="D187" i="7"/>
  <c r="C187" i="7"/>
  <c r="J186" i="7"/>
  <c r="Q186" i="7" s="1"/>
  <c r="S186" i="7" s="1"/>
  <c r="U186" i="7" s="1"/>
  <c r="E186" i="7"/>
  <c r="D186" i="7"/>
  <c r="C186" i="7"/>
  <c r="Q185" i="7"/>
  <c r="S185" i="7" s="1"/>
  <c r="U185" i="7"/>
  <c r="J185" i="7"/>
  <c r="E185" i="7"/>
  <c r="D185" i="7"/>
  <c r="C185" i="7"/>
  <c r="S184" i="7"/>
  <c r="J184" i="7"/>
  <c r="J183" i="7"/>
  <c r="E183" i="7"/>
  <c r="D183" i="7"/>
  <c r="C183" i="7"/>
  <c r="J182" i="7"/>
  <c r="Q182" i="7" s="1"/>
  <c r="S182" i="7" s="1"/>
  <c r="U182" i="7" s="1"/>
  <c r="E182" i="7"/>
  <c r="D182" i="7"/>
  <c r="C182" i="7"/>
  <c r="J181" i="7"/>
  <c r="Q181" i="7" s="1"/>
  <c r="S181" i="7" s="1"/>
  <c r="E181" i="7"/>
  <c r="D181" i="7"/>
  <c r="C181" i="7"/>
  <c r="U180" i="7"/>
  <c r="Q180" i="7"/>
  <c r="S180" i="7" s="1"/>
  <c r="J180" i="7"/>
  <c r="E180" i="7"/>
  <c r="D180" i="7"/>
  <c r="C180" i="7"/>
  <c r="T179" i="7"/>
  <c r="R179" i="7"/>
  <c r="O179" i="7"/>
  <c r="N179" i="7"/>
  <c r="M179" i="7"/>
  <c r="L179" i="7"/>
  <c r="K179" i="7"/>
  <c r="I179" i="7"/>
  <c r="S178" i="7"/>
  <c r="U178" i="7" s="1"/>
  <c r="Q178" i="7"/>
  <c r="E178" i="7"/>
  <c r="D178" i="7"/>
  <c r="C178" i="7"/>
  <c r="U177" i="7"/>
  <c r="Q177" i="7"/>
  <c r="S177" i="7" s="1"/>
  <c r="E177" i="7"/>
  <c r="D177" i="7"/>
  <c r="C177" i="7"/>
  <c r="Q176" i="7"/>
  <c r="S176" i="7" s="1"/>
  <c r="U176" i="7" s="1"/>
  <c r="E176" i="7"/>
  <c r="D176" i="7"/>
  <c r="C176" i="7"/>
  <c r="S175" i="7"/>
  <c r="U175" i="7" s="1"/>
  <c r="Q175" i="7"/>
  <c r="E175" i="7"/>
  <c r="D175" i="7"/>
  <c r="C175" i="7"/>
  <c r="S174" i="7"/>
  <c r="U174" i="7" s="1"/>
  <c r="Q174" i="7"/>
  <c r="E174" i="7"/>
  <c r="D174" i="7"/>
  <c r="C174" i="7"/>
  <c r="Q173" i="7"/>
  <c r="S173" i="7" s="1"/>
  <c r="U173" i="7" s="1"/>
  <c r="E173" i="7"/>
  <c r="D173" i="7"/>
  <c r="C173" i="7"/>
  <c r="Q172" i="7"/>
  <c r="S172" i="7" s="1"/>
  <c r="U172" i="7" s="1"/>
  <c r="E172" i="7"/>
  <c r="D172" i="7"/>
  <c r="C172" i="7"/>
  <c r="T171" i="7"/>
  <c r="R171" i="7"/>
  <c r="R170" i="7" s="1"/>
  <c r="Q171" i="7"/>
  <c r="O171" i="7"/>
  <c r="O170" i="7" s="1"/>
  <c r="N171" i="7"/>
  <c r="M171" i="7"/>
  <c r="L171" i="7"/>
  <c r="L170" i="7" s="1"/>
  <c r="K171" i="7"/>
  <c r="J171" i="7"/>
  <c r="I171" i="7"/>
  <c r="I170" i="7" s="1"/>
  <c r="Q169" i="7"/>
  <c r="S169" i="7" s="1"/>
  <c r="U169" i="7" s="1"/>
  <c r="Q167" i="7"/>
  <c r="Q166" i="7" s="1"/>
  <c r="E169" i="7"/>
  <c r="D169" i="7"/>
  <c r="C169" i="7"/>
  <c r="Q168" i="7"/>
  <c r="S168" i="7" s="1"/>
  <c r="E168" i="7"/>
  <c r="D168" i="7"/>
  <c r="C168" i="7"/>
  <c r="T167" i="7"/>
  <c r="T166" i="7" s="1"/>
  <c r="R167" i="7"/>
  <c r="R166" i="7" s="1"/>
  <c r="O167" i="7"/>
  <c r="O166" i="7" s="1"/>
  <c r="N167" i="7"/>
  <c r="N166" i="7"/>
  <c r="M167" i="7"/>
  <c r="M166" i="7"/>
  <c r="L167" i="7"/>
  <c r="L166" i="7" s="1"/>
  <c r="K167" i="7"/>
  <c r="J167" i="7"/>
  <c r="I167" i="7"/>
  <c r="I166" i="7" s="1"/>
  <c r="K166" i="7"/>
  <c r="J166" i="7"/>
  <c r="Q165" i="7"/>
  <c r="S165" i="7" s="1"/>
  <c r="E165" i="7"/>
  <c r="D165" i="7"/>
  <c r="C165" i="7"/>
  <c r="I164" i="7"/>
  <c r="I163" i="7" s="1"/>
  <c r="U163" i="7"/>
  <c r="T163" i="7"/>
  <c r="S163" i="7"/>
  <c r="R163" i="7"/>
  <c r="Q163" i="7"/>
  <c r="O163" i="7"/>
  <c r="N163" i="7"/>
  <c r="M163" i="7"/>
  <c r="L163" i="7"/>
  <c r="K163" i="7"/>
  <c r="J163" i="7"/>
  <c r="T162" i="7"/>
  <c r="J162" i="7"/>
  <c r="Q162" i="7" s="1"/>
  <c r="S162" i="7" s="1"/>
  <c r="U162" i="7" s="1"/>
  <c r="E162" i="7"/>
  <c r="D162" i="7"/>
  <c r="C162" i="7"/>
  <c r="T161" i="7"/>
  <c r="Q161" i="7"/>
  <c r="S161" i="7" s="1"/>
  <c r="U161" i="7" s="1"/>
  <c r="J161" i="7"/>
  <c r="E161" i="7"/>
  <c r="D161" i="7"/>
  <c r="C161" i="7"/>
  <c r="T160" i="7"/>
  <c r="Q160" i="7"/>
  <c r="S160" i="7" s="1"/>
  <c r="U160" i="7" s="1"/>
  <c r="J160" i="7"/>
  <c r="E160" i="7"/>
  <c r="D160" i="7"/>
  <c r="C160" i="7"/>
  <c r="T159" i="7"/>
  <c r="J159" i="7"/>
  <c r="Q159" i="7" s="1"/>
  <c r="S159" i="7" s="1"/>
  <c r="U159" i="7" s="1"/>
  <c r="E159" i="7"/>
  <c r="D159" i="7"/>
  <c r="C159" i="7"/>
  <c r="T158" i="7"/>
  <c r="Q158" i="7"/>
  <c r="S158" i="7" s="1"/>
  <c r="U158" i="7" s="1"/>
  <c r="J158" i="7"/>
  <c r="E158" i="7"/>
  <c r="D158" i="7"/>
  <c r="C158" i="7"/>
  <c r="T157" i="7"/>
  <c r="J157" i="7"/>
  <c r="Q157" i="7" s="1"/>
  <c r="E157" i="7"/>
  <c r="D157" i="7"/>
  <c r="C157" i="7"/>
  <c r="T156" i="7"/>
  <c r="J156" i="7" s="1"/>
  <c r="Q156" i="7"/>
  <c r="E156" i="7"/>
  <c r="D156" i="7"/>
  <c r="C156" i="7"/>
  <c r="X155" i="7"/>
  <c r="W155" i="7"/>
  <c r="T155" i="7"/>
  <c r="R155" i="7"/>
  <c r="O155" i="7"/>
  <c r="N155" i="7"/>
  <c r="M155" i="7"/>
  <c r="L155" i="7"/>
  <c r="K155" i="7"/>
  <c r="I155" i="7"/>
  <c r="T154" i="7"/>
  <c r="J154" i="7" s="1"/>
  <c r="Q154" i="7" s="1"/>
  <c r="S154" i="7" s="1"/>
  <c r="U154" i="7" s="1"/>
  <c r="E154" i="7"/>
  <c r="D154" i="7"/>
  <c r="C154" i="7"/>
  <c r="T153" i="7"/>
  <c r="J153" i="7" s="1"/>
  <c r="Q153" i="7"/>
  <c r="S153" i="7" s="1"/>
  <c r="U153" i="7" s="1"/>
  <c r="E153" i="7"/>
  <c r="D153" i="7"/>
  <c r="C153" i="7"/>
  <c r="T152" i="7"/>
  <c r="J152" i="7" s="1"/>
  <c r="Q152" i="7" s="1"/>
  <c r="S152" i="7" s="1"/>
  <c r="U152" i="7" s="1"/>
  <c r="E152" i="7"/>
  <c r="D152" i="7"/>
  <c r="C152" i="7"/>
  <c r="T151" i="7"/>
  <c r="J151" i="7" s="1"/>
  <c r="Q151" i="7" s="1"/>
  <c r="S151" i="7" s="1"/>
  <c r="U151" i="7" s="1"/>
  <c r="E151" i="7"/>
  <c r="D151" i="7"/>
  <c r="C151" i="7"/>
  <c r="T150" i="7"/>
  <c r="J150" i="7" s="1"/>
  <c r="Q150" i="7" s="1"/>
  <c r="S150" i="7" s="1"/>
  <c r="U150" i="7" s="1"/>
  <c r="E150" i="7"/>
  <c r="D150" i="7"/>
  <c r="C150" i="7"/>
  <c r="T149" i="7"/>
  <c r="J149" i="7" s="1"/>
  <c r="Q149" i="7" s="1"/>
  <c r="S149" i="7" s="1"/>
  <c r="U149" i="7" s="1"/>
  <c r="E149" i="7"/>
  <c r="D149" i="7"/>
  <c r="C149" i="7"/>
  <c r="T148" i="7"/>
  <c r="J148" i="7" s="1"/>
  <c r="Q148" i="7" s="1"/>
  <c r="S148" i="7"/>
  <c r="U148" i="7" s="1"/>
  <c r="E148" i="7"/>
  <c r="D148" i="7"/>
  <c r="C148" i="7"/>
  <c r="T147" i="7"/>
  <c r="J147" i="7" s="1"/>
  <c r="Q147" i="7" s="1"/>
  <c r="S147" i="7" s="1"/>
  <c r="U147" i="7" s="1"/>
  <c r="E147" i="7"/>
  <c r="D147" i="7"/>
  <c r="C147" i="7"/>
  <c r="T146" i="7"/>
  <c r="J146" i="7" s="1"/>
  <c r="Q146" i="7" s="1"/>
  <c r="S146" i="7" s="1"/>
  <c r="U146" i="7" s="1"/>
  <c r="E146" i="7"/>
  <c r="D146" i="7"/>
  <c r="C146" i="7"/>
  <c r="T145" i="7"/>
  <c r="J145" i="7" s="1"/>
  <c r="Q145" i="7"/>
  <c r="S145" i="7" s="1"/>
  <c r="U145" i="7" s="1"/>
  <c r="E145" i="7"/>
  <c r="D145" i="7"/>
  <c r="C145" i="7"/>
  <c r="T144" i="7"/>
  <c r="J144" i="7" s="1"/>
  <c r="Q144" i="7" s="1"/>
  <c r="S144" i="7" s="1"/>
  <c r="U144" i="7" s="1"/>
  <c r="E144" i="7"/>
  <c r="D144" i="7"/>
  <c r="C144" i="7"/>
  <c r="T143" i="7"/>
  <c r="J143" i="7" s="1"/>
  <c r="Q143" i="7" s="1"/>
  <c r="S143" i="7"/>
  <c r="U143" i="7" s="1"/>
  <c r="E143" i="7"/>
  <c r="D143" i="7"/>
  <c r="C143" i="7"/>
  <c r="T142" i="7"/>
  <c r="J142" i="7" s="1"/>
  <c r="Q142" i="7" s="1"/>
  <c r="S142" i="7" s="1"/>
  <c r="U142" i="7" s="1"/>
  <c r="E142" i="7"/>
  <c r="D142" i="7"/>
  <c r="C142" i="7"/>
  <c r="T141" i="7"/>
  <c r="J141" i="7" s="1"/>
  <c r="Q141" i="7"/>
  <c r="S141" i="7" s="1"/>
  <c r="U141" i="7" s="1"/>
  <c r="E141" i="7"/>
  <c r="D141" i="7"/>
  <c r="C141" i="7"/>
  <c r="T140" i="7"/>
  <c r="J140" i="7" s="1"/>
  <c r="Q140" i="7" s="1"/>
  <c r="S140" i="7"/>
  <c r="U140" i="7" s="1"/>
  <c r="E140" i="7"/>
  <c r="D140" i="7"/>
  <c r="C140" i="7"/>
  <c r="T139" i="7"/>
  <c r="J139" i="7" s="1"/>
  <c r="Q139" i="7" s="1"/>
  <c r="S139" i="7" s="1"/>
  <c r="U139" i="7" s="1"/>
  <c r="E139" i="7"/>
  <c r="D139" i="7"/>
  <c r="C139" i="7"/>
  <c r="T138" i="7"/>
  <c r="E138" i="7"/>
  <c r="D138" i="7"/>
  <c r="C138" i="7"/>
  <c r="X137" i="7"/>
  <c r="W137" i="7"/>
  <c r="R137" i="7"/>
  <c r="R111" i="7"/>
  <c r="O137" i="7"/>
  <c r="N137" i="7"/>
  <c r="M137" i="7"/>
  <c r="L137" i="7"/>
  <c r="K137" i="7"/>
  <c r="I137" i="7"/>
  <c r="J136" i="7"/>
  <c r="Q136" i="7"/>
  <c r="S136" i="7" s="1"/>
  <c r="U136" i="7" s="1"/>
  <c r="E136" i="7"/>
  <c r="D136" i="7"/>
  <c r="C136" i="7"/>
  <c r="Q135" i="7"/>
  <c r="S135" i="7"/>
  <c r="U135" i="7" s="1"/>
  <c r="J135" i="7"/>
  <c r="E135" i="7"/>
  <c r="D135" i="7"/>
  <c r="C135" i="7"/>
  <c r="J134" i="7"/>
  <c r="Q134" i="7" s="1"/>
  <c r="S134" i="7" s="1"/>
  <c r="U134" i="7" s="1"/>
  <c r="E134" i="7"/>
  <c r="D134" i="7"/>
  <c r="C134" i="7"/>
  <c r="J133" i="7"/>
  <c r="Q133" i="7" s="1"/>
  <c r="S133" i="7" s="1"/>
  <c r="U133" i="7" s="1"/>
  <c r="E133" i="7"/>
  <c r="D133" i="7"/>
  <c r="C133" i="7"/>
  <c r="J132" i="7"/>
  <c r="Q132" i="7" s="1"/>
  <c r="S132" i="7" s="1"/>
  <c r="U132" i="7" s="1"/>
  <c r="E132" i="7"/>
  <c r="D132" i="7"/>
  <c r="C132" i="7"/>
  <c r="Q131" i="7"/>
  <c r="S131" i="7" s="1"/>
  <c r="U131" i="7" s="1"/>
  <c r="J131" i="7"/>
  <c r="E131" i="7"/>
  <c r="D131" i="7"/>
  <c r="C131" i="7"/>
  <c r="J130" i="7"/>
  <c r="Q130" i="7"/>
  <c r="S130" i="7" s="1"/>
  <c r="U130" i="7" s="1"/>
  <c r="E130" i="7"/>
  <c r="D130" i="7"/>
  <c r="C130" i="7"/>
  <c r="J129" i="7"/>
  <c r="Q129" i="7" s="1"/>
  <c r="S129" i="7" s="1"/>
  <c r="U129" i="7" s="1"/>
  <c r="E129" i="7"/>
  <c r="D129" i="7"/>
  <c r="C129" i="7"/>
  <c r="J128" i="7"/>
  <c r="Q128" i="7"/>
  <c r="S128" i="7" s="1"/>
  <c r="U128" i="7" s="1"/>
  <c r="E128" i="7"/>
  <c r="D128" i="7"/>
  <c r="C128" i="7"/>
  <c r="Q127" i="7"/>
  <c r="J127" i="7"/>
  <c r="E127" i="7"/>
  <c r="D127" i="7"/>
  <c r="C127" i="7"/>
  <c r="J126" i="7"/>
  <c r="Q126" i="7" s="1"/>
  <c r="S126" i="7"/>
  <c r="U126" i="7"/>
  <c r="E126" i="7"/>
  <c r="D126" i="7"/>
  <c r="C126" i="7"/>
  <c r="J125" i="7"/>
  <c r="Q125" i="7" s="1"/>
  <c r="E125" i="7"/>
  <c r="D125" i="7"/>
  <c r="C125" i="7"/>
  <c r="T124" i="7"/>
  <c r="R124" i="7"/>
  <c r="O124" i="7"/>
  <c r="N124" i="7"/>
  <c r="M124" i="7"/>
  <c r="L124" i="7"/>
  <c r="K124" i="7"/>
  <c r="I124" i="7"/>
  <c r="S123" i="7"/>
  <c r="U123" i="7" s="1"/>
  <c r="Q123" i="7"/>
  <c r="E123" i="7"/>
  <c r="D123" i="7"/>
  <c r="C123" i="7"/>
  <c r="Q122" i="7"/>
  <c r="S122" i="7" s="1"/>
  <c r="U122" i="7" s="1"/>
  <c r="E122" i="7"/>
  <c r="D122" i="7"/>
  <c r="C122" i="7"/>
  <c r="U121" i="7"/>
  <c r="Q121" i="7"/>
  <c r="S121" i="7" s="1"/>
  <c r="E121" i="7"/>
  <c r="D121" i="7"/>
  <c r="C121" i="7"/>
  <c r="Q120" i="7"/>
  <c r="S120" i="7" s="1"/>
  <c r="U120" i="7" s="1"/>
  <c r="E120" i="7"/>
  <c r="D120" i="7"/>
  <c r="C120" i="7"/>
  <c r="S119" i="7"/>
  <c r="U119" i="7"/>
  <c r="Q119" i="7"/>
  <c r="E119" i="7"/>
  <c r="D119" i="7"/>
  <c r="C119" i="7"/>
  <c r="Q118" i="7"/>
  <c r="S118" i="7" s="1"/>
  <c r="U118" i="7" s="1"/>
  <c r="E118" i="7"/>
  <c r="D118" i="7"/>
  <c r="C118" i="7"/>
  <c r="U117" i="7"/>
  <c r="Q117" i="7"/>
  <c r="S117" i="7" s="1"/>
  <c r="E117" i="7"/>
  <c r="D117" i="7"/>
  <c r="C117" i="7"/>
  <c r="Q116" i="7"/>
  <c r="S116" i="7" s="1"/>
  <c r="U116" i="7" s="1"/>
  <c r="E116" i="7"/>
  <c r="D116" i="7"/>
  <c r="C116" i="7"/>
  <c r="S115" i="7"/>
  <c r="U115" i="7" s="1"/>
  <c r="Q115" i="7"/>
  <c r="E115" i="7"/>
  <c r="D115" i="7"/>
  <c r="C115" i="7"/>
  <c r="Q114" i="7"/>
  <c r="S114" i="7" s="1"/>
  <c r="U114" i="7" s="1"/>
  <c r="E114" i="7"/>
  <c r="D114" i="7"/>
  <c r="C114" i="7"/>
  <c r="S113" i="7"/>
  <c r="U113" i="7"/>
  <c r="Q113" i="7"/>
  <c r="E113" i="7"/>
  <c r="D113" i="7"/>
  <c r="C113" i="7"/>
  <c r="T112" i="7"/>
  <c r="R112" i="7"/>
  <c r="O112" i="7"/>
  <c r="O111" i="7"/>
  <c r="N112" i="7"/>
  <c r="M112" i="7"/>
  <c r="M111" i="7" s="1"/>
  <c r="L112" i="7"/>
  <c r="L111" i="7" s="1"/>
  <c r="K112" i="7"/>
  <c r="K111" i="7" s="1"/>
  <c r="J112" i="7"/>
  <c r="I112" i="7"/>
  <c r="I111" i="7" s="1"/>
  <c r="N111" i="7"/>
  <c r="J110" i="7"/>
  <c r="E110" i="7"/>
  <c r="D110" i="7"/>
  <c r="C110" i="7"/>
  <c r="T109" i="7"/>
  <c r="R109" i="7"/>
  <c r="O109" i="7"/>
  <c r="N109" i="7"/>
  <c r="M109" i="7"/>
  <c r="L109" i="7"/>
  <c r="K109" i="7"/>
  <c r="I109" i="7"/>
  <c r="J108" i="7"/>
  <c r="Q108" i="7" s="1"/>
  <c r="S108" i="7" s="1"/>
  <c r="E108" i="7"/>
  <c r="D108" i="7"/>
  <c r="C108" i="7"/>
  <c r="U107" i="7"/>
  <c r="J107" i="7"/>
  <c r="Q107" i="7" s="1"/>
  <c r="S107" i="7" s="1"/>
  <c r="E107" i="7"/>
  <c r="D107" i="7"/>
  <c r="C107" i="7"/>
  <c r="U106" i="7"/>
  <c r="J106" i="7"/>
  <c r="Q106" i="7" s="1"/>
  <c r="S106" i="7" s="1"/>
  <c r="E106" i="7"/>
  <c r="D106" i="7"/>
  <c r="C106" i="7"/>
  <c r="J105" i="7"/>
  <c r="Q105" i="7"/>
  <c r="S105" i="7"/>
  <c r="U105" i="7"/>
  <c r="E105" i="7"/>
  <c r="D105" i="7"/>
  <c r="C105" i="7"/>
  <c r="Q104" i="7"/>
  <c r="S104" i="7" s="1"/>
  <c r="J104" i="7"/>
  <c r="E104" i="7"/>
  <c r="D104" i="7"/>
  <c r="C104" i="7"/>
  <c r="U103" i="7"/>
  <c r="Q103" i="7"/>
  <c r="S103" i="7" s="1"/>
  <c r="J103" i="7"/>
  <c r="E103" i="7"/>
  <c r="D103" i="7"/>
  <c r="C103" i="7"/>
  <c r="U102" i="7"/>
  <c r="T102" i="7"/>
  <c r="S102" i="7"/>
  <c r="Q102" i="7"/>
  <c r="J102" i="7"/>
  <c r="E102" i="7"/>
  <c r="D102" i="7"/>
  <c r="C102" i="7"/>
  <c r="T101" i="7"/>
  <c r="R101" i="7"/>
  <c r="O101" i="7"/>
  <c r="N101" i="7"/>
  <c r="M101" i="7"/>
  <c r="L101" i="7"/>
  <c r="K101" i="7"/>
  <c r="I101" i="7"/>
  <c r="S100" i="7"/>
  <c r="U100" i="7" s="1"/>
  <c r="J100" i="7"/>
  <c r="Q100" i="7" s="1"/>
  <c r="E100" i="7"/>
  <c r="D100" i="7"/>
  <c r="C100" i="7"/>
  <c r="Q99" i="7"/>
  <c r="S99" i="7"/>
  <c r="U99" i="7" s="1"/>
  <c r="J99" i="7"/>
  <c r="E99" i="7"/>
  <c r="D99" i="7"/>
  <c r="C99" i="7"/>
  <c r="J98" i="7"/>
  <c r="Q98" i="7" s="1"/>
  <c r="E98" i="7"/>
  <c r="D98" i="7"/>
  <c r="C98" i="7"/>
  <c r="S97" i="7"/>
  <c r="U97" i="7" s="1"/>
  <c r="Q97" i="7"/>
  <c r="J97" i="7"/>
  <c r="E97" i="7"/>
  <c r="D97" i="7"/>
  <c r="C97" i="7"/>
  <c r="J96" i="7"/>
  <c r="E96" i="7"/>
  <c r="D96" i="7"/>
  <c r="C96" i="7"/>
  <c r="T95" i="7"/>
  <c r="R95" i="7"/>
  <c r="O95" i="7"/>
  <c r="N95" i="7"/>
  <c r="M95" i="7"/>
  <c r="L95" i="7"/>
  <c r="K95" i="7"/>
  <c r="I95" i="7"/>
  <c r="T94" i="7"/>
  <c r="J94" i="7" s="1"/>
  <c r="Q94" i="7" s="1"/>
  <c r="S94" i="7" s="1"/>
  <c r="U94" i="7" s="1"/>
  <c r="E94" i="7"/>
  <c r="D94" i="7"/>
  <c r="C94" i="7"/>
  <c r="T93" i="7"/>
  <c r="J93" i="7" s="1"/>
  <c r="Q93" i="7"/>
  <c r="S93" i="7" s="1"/>
  <c r="U93" i="7"/>
  <c r="E93" i="7"/>
  <c r="D93" i="7"/>
  <c r="C93" i="7"/>
  <c r="T92" i="7"/>
  <c r="J92" i="7" s="1"/>
  <c r="Q92" i="7" s="1"/>
  <c r="S92" i="7"/>
  <c r="U92" i="7" s="1"/>
  <c r="E92" i="7"/>
  <c r="D92" i="7"/>
  <c r="C92" i="7"/>
  <c r="T91" i="7"/>
  <c r="J91" i="7" s="1"/>
  <c r="Q91" i="7"/>
  <c r="S91" i="7" s="1"/>
  <c r="U91" i="7"/>
  <c r="E91" i="7"/>
  <c r="D91" i="7"/>
  <c r="C91" i="7"/>
  <c r="T90" i="7"/>
  <c r="J90" i="7" s="1"/>
  <c r="Q90" i="7" s="1"/>
  <c r="S90" i="7" s="1"/>
  <c r="U90" i="7" s="1"/>
  <c r="E90" i="7"/>
  <c r="D90" i="7"/>
  <c r="C90" i="7"/>
  <c r="T89" i="7"/>
  <c r="J89" i="7" s="1"/>
  <c r="Q89" i="7" s="1"/>
  <c r="S89" i="7" s="1"/>
  <c r="U89" i="7" s="1"/>
  <c r="E89" i="7"/>
  <c r="D89" i="7"/>
  <c r="C89" i="7"/>
  <c r="T88" i="7"/>
  <c r="J88" i="7" s="1"/>
  <c r="Q88" i="7"/>
  <c r="S88" i="7" s="1"/>
  <c r="U88" i="7" s="1"/>
  <c r="E88" i="7"/>
  <c r="D88" i="7"/>
  <c r="C88" i="7"/>
  <c r="T87" i="7"/>
  <c r="J87" i="7" s="1"/>
  <c r="S87" i="7"/>
  <c r="U87" i="7" s="1"/>
  <c r="Q87" i="7"/>
  <c r="E87" i="7"/>
  <c r="D87" i="7"/>
  <c r="C87" i="7"/>
  <c r="T86" i="7"/>
  <c r="J86" i="7" s="1"/>
  <c r="Q86" i="7" s="1"/>
  <c r="S86" i="7" s="1"/>
  <c r="U86" i="7" s="1"/>
  <c r="E86" i="7"/>
  <c r="D86" i="7"/>
  <c r="C86" i="7"/>
  <c r="T85" i="7"/>
  <c r="J85" i="7" s="1"/>
  <c r="Q85" i="7"/>
  <c r="S85" i="7" s="1"/>
  <c r="U85" i="7"/>
  <c r="E85" i="7"/>
  <c r="D85" i="7"/>
  <c r="C85" i="7"/>
  <c r="T84" i="7"/>
  <c r="J84" i="7" s="1"/>
  <c r="Q84" i="7" s="1"/>
  <c r="S84" i="7"/>
  <c r="U84" i="7" s="1"/>
  <c r="E84" i="7"/>
  <c r="D84" i="7"/>
  <c r="C84" i="7"/>
  <c r="T83" i="7"/>
  <c r="J83" i="7" s="1"/>
  <c r="Q83" i="7"/>
  <c r="S83" i="7" s="1"/>
  <c r="U83" i="7" s="1"/>
  <c r="E83" i="7"/>
  <c r="D83" i="7"/>
  <c r="C83" i="7"/>
  <c r="T82" i="7"/>
  <c r="J82" i="7" s="1"/>
  <c r="Q82" i="7" s="1"/>
  <c r="S82" i="7" s="1"/>
  <c r="U82" i="7" s="1"/>
  <c r="E82" i="7"/>
  <c r="D82" i="7"/>
  <c r="C82" i="7"/>
  <c r="T81" i="7"/>
  <c r="J81" i="7" s="1"/>
  <c r="Q81" i="7" s="1"/>
  <c r="S81" i="7" s="1"/>
  <c r="U81" i="7" s="1"/>
  <c r="E81" i="7"/>
  <c r="D81" i="7"/>
  <c r="C81" i="7"/>
  <c r="T80" i="7"/>
  <c r="J80" i="7" s="1"/>
  <c r="Q80" i="7"/>
  <c r="S80" i="7" s="1"/>
  <c r="U80" i="7" s="1"/>
  <c r="E80" i="7"/>
  <c r="D80" i="7"/>
  <c r="C80" i="7"/>
  <c r="T79" i="7"/>
  <c r="J79" i="7" s="1"/>
  <c r="S79" i="7"/>
  <c r="U79" i="7" s="1"/>
  <c r="Q79" i="7"/>
  <c r="E79" i="7"/>
  <c r="D79" i="7"/>
  <c r="C79" i="7"/>
  <c r="T78" i="7"/>
  <c r="J78" i="7" s="1"/>
  <c r="Q78" i="7" s="1"/>
  <c r="S78" i="7"/>
  <c r="U78" i="7"/>
  <c r="E78" i="7"/>
  <c r="D78" i="7"/>
  <c r="C78" i="7"/>
  <c r="T77" i="7"/>
  <c r="J77" i="7" s="1"/>
  <c r="Q77" i="7"/>
  <c r="S77" i="7" s="1"/>
  <c r="U77" i="7" s="1"/>
  <c r="E77" i="7"/>
  <c r="D77" i="7"/>
  <c r="C77" i="7"/>
  <c r="T76" i="7"/>
  <c r="J76" i="7" s="1"/>
  <c r="Q76" i="7" s="1"/>
  <c r="S76" i="7"/>
  <c r="U76" i="7" s="1"/>
  <c r="E76" i="7"/>
  <c r="D76" i="7"/>
  <c r="C76" i="7"/>
  <c r="T75" i="7"/>
  <c r="J75" i="7" s="1"/>
  <c r="Q75" i="7"/>
  <c r="S75" i="7" s="1"/>
  <c r="U75" i="7" s="1"/>
  <c r="E75" i="7"/>
  <c r="D75" i="7"/>
  <c r="C75" i="7"/>
  <c r="T74" i="7"/>
  <c r="J74" i="7" s="1"/>
  <c r="Q74" i="7" s="1"/>
  <c r="S74" i="7" s="1"/>
  <c r="U74" i="7" s="1"/>
  <c r="E74" i="7"/>
  <c r="D74" i="7"/>
  <c r="C74" i="7"/>
  <c r="T73" i="7"/>
  <c r="J73" i="7" s="1"/>
  <c r="Q73" i="7" s="1"/>
  <c r="S73" i="7" s="1"/>
  <c r="U73" i="7" s="1"/>
  <c r="E73" i="7"/>
  <c r="D73" i="7"/>
  <c r="C73" i="7"/>
  <c r="T72" i="7"/>
  <c r="J72" i="7" s="1"/>
  <c r="Q72" i="7" s="1"/>
  <c r="S72" i="7" s="1"/>
  <c r="U72" i="7" s="1"/>
  <c r="E72" i="7"/>
  <c r="D72" i="7"/>
  <c r="C72" i="7"/>
  <c r="T71" i="7"/>
  <c r="J71" i="7" s="1"/>
  <c r="S71" i="7"/>
  <c r="U71" i="7" s="1"/>
  <c r="Q71" i="7"/>
  <c r="E71" i="7"/>
  <c r="D71" i="7"/>
  <c r="C71" i="7"/>
  <c r="T70" i="7"/>
  <c r="J70" i="7" s="1"/>
  <c r="Q70" i="7" s="1"/>
  <c r="S70" i="7" s="1"/>
  <c r="U70" i="7" s="1"/>
  <c r="E70" i="7"/>
  <c r="D70" i="7"/>
  <c r="C70" i="7"/>
  <c r="T69" i="7"/>
  <c r="J69" i="7" s="1"/>
  <c r="Q69" i="7"/>
  <c r="S69" i="7" s="1"/>
  <c r="U69" i="7" s="1"/>
  <c r="E69" i="7"/>
  <c r="D69" i="7"/>
  <c r="C69" i="7"/>
  <c r="T68" i="7"/>
  <c r="J68" i="7" s="1"/>
  <c r="Q68" i="7" s="1"/>
  <c r="S68" i="7" s="1"/>
  <c r="U68" i="7" s="1"/>
  <c r="E68" i="7"/>
  <c r="D68" i="7"/>
  <c r="C68" i="7"/>
  <c r="T67" i="7"/>
  <c r="J67" i="7" s="1"/>
  <c r="E67" i="7"/>
  <c r="D67" i="7"/>
  <c r="C67" i="7"/>
  <c r="Y66" i="7"/>
  <c r="X66" i="7"/>
  <c r="W66" i="7"/>
  <c r="R66" i="7"/>
  <c r="O66" i="7"/>
  <c r="N66" i="7"/>
  <c r="M66" i="7"/>
  <c r="L66" i="7"/>
  <c r="K66" i="7"/>
  <c r="I66" i="7"/>
  <c r="S65" i="7"/>
  <c r="U65" i="7" s="1"/>
  <c r="J65" i="7"/>
  <c r="Q65" i="7" s="1"/>
  <c r="E65" i="7"/>
  <c r="D65" i="7"/>
  <c r="C65" i="7"/>
  <c r="Q64" i="7"/>
  <c r="S64" i="7"/>
  <c r="U64" i="7"/>
  <c r="J64" i="7"/>
  <c r="E64" i="7"/>
  <c r="D64" i="7"/>
  <c r="C64" i="7"/>
  <c r="J63" i="7"/>
  <c r="Q63" i="7" s="1"/>
  <c r="S63" i="7"/>
  <c r="U63" i="7" s="1"/>
  <c r="E63" i="7"/>
  <c r="D63" i="7"/>
  <c r="C63" i="7"/>
  <c r="J62" i="7"/>
  <c r="Q62" i="7" s="1"/>
  <c r="S62" i="7" s="1"/>
  <c r="U62" i="7" s="1"/>
  <c r="E62" i="7"/>
  <c r="D62" i="7"/>
  <c r="C62" i="7"/>
  <c r="Q61" i="7"/>
  <c r="S61" i="7" s="1"/>
  <c r="U61" i="7"/>
  <c r="J61" i="7"/>
  <c r="E61" i="7"/>
  <c r="D61" i="7"/>
  <c r="C61" i="7"/>
  <c r="J60" i="7"/>
  <c r="Q60" i="7"/>
  <c r="S60" i="7" s="1"/>
  <c r="U60" i="7"/>
  <c r="E60" i="7"/>
  <c r="D60" i="7"/>
  <c r="C60" i="7"/>
  <c r="J59" i="7"/>
  <c r="Q59" i="7" s="1"/>
  <c r="S59" i="7" s="1"/>
  <c r="U59" i="7" s="1"/>
  <c r="E59" i="7"/>
  <c r="D59" i="7"/>
  <c r="C59" i="7"/>
  <c r="Q58" i="7"/>
  <c r="S58" i="7" s="1"/>
  <c r="U58" i="7" s="1"/>
  <c r="J58" i="7"/>
  <c r="E58" i="7"/>
  <c r="D58" i="7"/>
  <c r="C58" i="7"/>
  <c r="S57" i="7"/>
  <c r="U57" i="7" s="1"/>
  <c r="J57" i="7"/>
  <c r="Q57" i="7" s="1"/>
  <c r="E57" i="7"/>
  <c r="D57" i="7"/>
  <c r="C57" i="7"/>
  <c r="Q56" i="7"/>
  <c r="S56" i="7" s="1"/>
  <c r="U56" i="7"/>
  <c r="J56" i="7"/>
  <c r="E56" i="7"/>
  <c r="D56" i="7"/>
  <c r="C56" i="7"/>
  <c r="J55" i="7"/>
  <c r="Q55" i="7"/>
  <c r="S55" i="7" s="1"/>
  <c r="U55" i="7" s="1"/>
  <c r="E55" i="7"/>
  <c r="D55" i="7"/>
  <c r="C55" i="7"/>
  <c r="S54" i="7"/>
  <c r="U54" i="7" s="1"/>
  <c r="Q54" i="7"/>
  <c r="J54" i="7"/>
  <c r="E54" i="7"/>
  <c r="D54" i="7"/>
  <c r="C54" i="7"/>
  <c r="Q53" i="7"/>
  <c r="S53" i="7" s="1"/>
  <c r="U53" i="7" s="1"/>
  <c r="J53" i="7"/>
  <c r="E53" i="7"/>
  <c r="D53" i="7"/>
  <c r="C53" i="7"/>
  <c r="J52" i="7"/>
  <c r="Q52" i="7" s="1"/>
  <c r="S52" i="7" s="1"/>
  <c r="U52" i="7" s="1"/>
  <c r="E52" i="7"/>
  <c r="D52" i="7"/>
  <c r="C52" i="7"/>
  <c r="J51" i="7"/>
  <c r="Q51" i="7" s="1"/>
  <c r="S51" i="7" s="1"/>
  <c r="U51" i="7" s="1"/>
  <c r="E51" i="7"/>
  <c r="D51" i="7"/>
  <c r="C51" i="7"/>
  <c r="Q50" i="7"/>
  <c r="S50" i="7" s="1"/>
  <c r="U50" i="7" s="1"/>
  <c r="J50" i="7"/>
  <c r="E50" i="7"/>
  <c r="D50" i="7"/>
  <c r="C50" i="7"/>
  <c r="J49" i="7"/>
  <c r="Q49" i="7" s="1"/>
  <c r="S49" i="7" s="1"/>
  <c r="U49" i="7" s="1"/>
  <c r="E49" i="7"/>
  <c r="D49" i="7"/>
  <c r="C49" i="7"/>
  <c r="Q48" i="7"/>
  <c r="S48" i="7" s="1"/>
  <c r="U48" i="7" s="1"/>
  <c r="J48" i="7"/>
  <c r="E48" i="7"/>
  <c r="D48" i="7"/>
  <c r="C48" i="7"/>
  <c r="J47" i="7"/>
  <c r="Q47" i="7" s="1"/>
  <c r="S47" i="7" s="1"/>
  <c r="U47" i="7" s="1"/>
  <c r="E47" i="7"/>
  <c r="D47" i="7"/>
  <c r="C47" i="7"/>
  <c r="Q46" i="7"/>
  <c r="S46" i="7" s="1"/>
  <c r="U46" i="7" s="1"/>
  <c r="J46" i="7"/>
  <c r="E46" i="7"/>
  <c r="D46" i="7"/>
  <c r="C46" i="7"/>
  <c r="J45" i="7"/>
  <c r="Q45" i="7" s="1"/>
  <c r="S45" i="7" s="1"/>
  <c r="U45" i="7" s="1"/>
  <c r="E45" i="7"/>
  <c r="D45" i="7"/>
  <c r="C45" i="7"/>
  <c r="J44" i="7"/>
  <c r="Q44" i="7"/>
  <c r="S44" i="7" s="1"/>
  <c r="U44" i="7" s="1"/>
  <c r="E44" i="7"/>
  <c r="D44" i="7"/>
  <c r="C44" i="7"/>
  <c r="Q43" i="7"/>
  <c r="S43" i="7" s="1"/>
  <c r="U43" i="7" s="1"/>
  <c r="J43" i="7"/>
  <c r="E43" i="7"/>
  <c r="D43" i="7"/>
  <c r="C43" i="7"/>
  <c r="J42" i="7"/>
  <c r="E42" i="7"/>
  <c r="D42" i="7"/>
  <c r="C42" i="7"/>
  <c r="S41" i="7"/>
  <c r="U41" i="7" s="1"/>
  <c r="Q41" i="7"/>
  <c r="J41" i="7"/>
  <c r="E41" i="7"/>
  <c r="D41" i="7"/>
  <c r="C41" i="7"/>
  <c r="Q40" i="7"/>
  <c r="J40" i="7"/>
  <c r="E40" i="7"/>
  <c r="D40" i="7"/>
  <c r="C40" i="7"/>
  <c r="T39" i="7"/>
  <c r="R39" i="7"/>
  <c r="R10" i="7" s="1"/>
  <c r="R9" i="7" s="1"/>
  <c r="R8" i="7" s="1"/>
  <c r="R7" i="7" s="1"/>
  <c r="O39" i="7"/>
  <c r="N39" i="7"/>
  <c r="M39" i="7"/>
  <c r="L39" i="7"/>
  <c r="K39" i="7"/>
  <c r="K10" i="7" s="1"/>
  <c r="K9" i="7" s="1"/>
  <c r="I39" i="7"/>
  <c r="S38" i="7"/>
  <c r="U38" i="7"/>
  <c r="U37" i="7" s="1"/>
  <c r="Q38" i="7"/>
  <c r="E38" i="7"/>
  <c r="D38" i="7"/>
  <c r="C38" i="7"/>
  <c r="T37" i="7"/>
  <c r="R37" i="7"/>
  <c r="Q37" i="7"/>
  <c r="O37" i="7"/>
  <c r="N37" i="7"/>
  <c r="M37" i="7"/>
  <c r="M10" i="7" s="1"/>
  <c r="M9" i="7"/>
  <c r="M8" i="7" s="1"/>
  <c r="M7" i="7" s="1"/>
  <c r="L37" i="7"/>
  <c r="K37" i="7"/>
  <c r="J37" i="7"/>
  <c r="I37" i="7"/>
  <c r="Q36" i="7"/>
  <c r="S36" i="7"/>
  <c r="U36" i="7" s="1"/>
  <c r="E36" i="7"/>
  <c r="D36" i="7"/>
  <c r="C36" i="7"/>
  <c r="S35" i="7"/>
  <c r="U35" i="7"/>
  <c r="Q35" i="7"/>
  <c r="E35" i="7"/>
  <c r="D35" i="7"/>
  <c r="C35" i="7"/>
  <c r="S34" i="7"/>
  <c r="U34" i="7" s="1"/>
  <c r="Q34" i="7"/>
  <c r="E34" i="7"/>
  <c r="D34" i="7"/>
  <c r="C34" i="7"/>
  <c r="Q33" i="7"/>
  <c r="S33" i="7" s="1"/>
  <c r="U33" i="7" s="1"/>
  <c r="E33" i="7"/>
  <c r="D33" i="7"/>
  <c r="C33" i="7"/>
  <c r="Q32" i="7"/>
  <c r="S32" i="7"/>
  <c r="U32" i="7" s="1"/>
  <c r="E32" i="7"/>
  <c r="D32" i="7"/>
  <c r="C32" i="7"/>
  <c r="S31" i="7"/>
  <c r="U31" i="7"/>
  <c r="Q31" i="7"/>
  <c r="E31" i="7"/>
  <c r="D31" i="7"/>
  <c r="C31" i="7"/>
  <c r="S30" i="7"/>
  <c r="U30" i="7" s="1"/>
  <c r="Q30" i="7"/>
  <c r="E30" i="7"/>
  <c r="D30" i="7"/>
  <c r="C30" i="7"/>
  <c r="U29" i="7"/>
  <c r="Q29" i="7"/>
  <c r="S29" i="7" s="1"/>
  <c r="E29" i="7"/>
  <c r="D29" i="7"/>
  <c r="C29" i="7"/>
  <c r="Q28" i="7"/>
  <c r="S28" i="7"/>
  <c r="U28" i="7" s="1"/>
  <c r="E28" i="7"/>
  <c r="D28" i="7"/>
  <c r="C28" i="7"/>
  <c r="S27" i="7"/>
  <c r="U27" i="7"/>
  <c r="Q27" i="7"/>
  <c r="E27" i="7"/>
  <c r="D27" i="7"/>
  <c r="C27" i="7"/>
  <c r="S26" i="7"/>
  <c r="U26" i="7" s="1"/>
  <c r="Q26" i="7"/>
  <c r="E26" i="7"/>
  <c r="D26" i="7"/>
  <c r="C26" i="7"/>
  <c r="U25" i="7"/>
  <c r="Q25" i="7"/>
  <c r="S25" i="7" s="1"/>
  <c r="E25" i="7"/>
  <c r="D25" i="7"/>
  <c r="C25" i="7"/>
  <c r="Q24" i="7"/>
  <c r="S24" i="7"/>
  <c r="U24" i="7" s="1"/>
  <c r="E24" i="7"/>
  <c r="D24" i="7"/>
  <c r="C24" i="7"/>
  <c r="S23" i="7"/>
  <c r="U23" i="7"/>
  <c r="Q23" i="7"/>
  <c r="E23" i="7"/>
  <c r="D23" i="7"/>
  <c r="C23" i="7"/>
  <c r="S22" i="7"/>
  <c r="U22" i="7" s="1"/>
  <c r="Q22" i="7"/>
  <c r="E22" i="7"/>
  <c r="D22" i="7"/>
  <c r="C22" i="7"/>
  <c r="U21" i="7"/>
  <c r="Q21" i="7"/>
  <c r="S21" i="7" s="1"/>
  <c r="E21" i="7"/>
  <c r="D21" i="7"/>
  <c r="C21" i="7"/>
  <c r="Q20" i="7"/>
  <c r="S20" i="7"/>
  <c r="U20" i="7" s="1"/>
  <c r="E20" i="7"/>
  <c r="D20" i="7"/>
  <c r="C20" i="7"/>
  <c r="S19" i="7"/>
  <c r="U19" i="7"/>
  <c r="Q19" i="7"/>
  <c r="E19" i="7"/>
  <c r="D19" i="7"/>
  <c r="C19" i="7"/>
  <c r="S18" i="7"/>
  <c r="U18" i="7" s="1"/>
  <c r="Q18" i="7"/>
  <c r="E18" i="7"/>
  <c r="D18" i="7"/>
  <c r="C18" i="7"/>
  <c r="Q17" i="7"/>
  <c r="S17" i="7" s="1"/>
  <c r="U17" i="7" s="1"/>
  <c r="E17" i="7"/>
  <c r="D17" i="7"/>
  <c r="C17" i="7"/>
  <c r="Q16" i="7"/>
  <c r="S16" i="7"/>
  <c r="U16" i="7" s="1"/>
  <c r="E16" i="7"/>
  <c r="D16" i="7"/>
  <c r="C16" i="7"/>
  <c r="S15" i="7"/>
  <c r="U15" i="7"/>
  <c r="Q15" i="7"/>
  <c r="E15" i="7"/>
  <c r="D15" i="7"/>
  <c r="C15" i="7"/>
  <c r="S14" i="7"/>
  <c r="U14" i="7" s="1"/>
  <c r="Q14" i="7"/>
  <c r="E14" i="7"/>
  <c r="D14" i="7"/>
  <c r="C14" i="7"/>
  <c r="S13" i="7"/>
  <c r="U13" i="7"/>
  <c r="Q13" i="7"/>
  <c r="E13" i="7"/>
  <c r="D13" i="7"/>
  <c r="C13" i="7"/>
  <c r="T12" i="7"/>
  <c r="R12" i="7"/>
  <c r="O12" i="7"/>
  <c r="O10" i="7" s="1"/>
  <c r="O9" i="7" s="1"/>
  <c r="O8" i="7" s="1"/>
  <c r="O7" i="7" s="1"/>
  <c r="N12" i="7"/>
  <c r="N10" i="7" s="1"/>
  <c r="N9" i="7" s="1"/>
  <c r="N8" i="7" s="1"/>
  <c r="N7" i="7" s="1"/>
  <c r="L12" i="7"/>
  <c r="L10" i="7" s="1"/>
  <c r="L9" i="7" s="1"/>
  <c r="L8" i="7" s="1"/>
  <c r="L7" i="7" s="1"/>
  <c r="K12" i="7"/>
  <c r="K8" i="7"/>
  <c r="K7" i="7" s="1"/>
  <c r="J12" i="7"/>
  <c r="I12" i="7"/>
  <c r="I10" i="7" s="1"/>
  <c r="Q39" i="3"/>
  <c r="S39" i="3" s="1"/>
  <c r="T38" i="3"/>
  <c r="U163" i="3"/>
  <c r="U162" i="3"/>
  <c r="T162" i="3" s="1"/>
  <c r="V162" i="3"/>
  <c r="U161" i="3"/>
  <c r="X161" i="3" s="1"/>
  <c r="T161" i="3"/>
  <c r="Y161" i="3" s="1"/>
  <c r="V161" i="3"/>
  <c r="U160" i="3"/>
  <c r="X160" i="3" s="1"/>
  <c r="U159" i="3"/>
  <c r="X159" i="3" s="1"/>
  <c r="T159" i="3"/>
  <c r="U158" i="3"/>
  <c r="X158" i="3" s="1"/>
  <c r="T158" i="3"/>
  <c r="U157" i="3"/>
  <c r="X157" i="3" s="1"/>
  <c r="T157" i="3"/>
  <c r="Y157" i="3" s="1"/>
  <c r="AA156" i="3"/>
  <c r="Z156" i="3"/>
  <c r="E160" i="3"/>
  <c r="D160" i="3"/>
  <c r="C160" i="3"/>
  <c r="U155" i="3"/>
  <c r="X155" i="3" s="1"/>
  <c r="T155" i="3"/>
  <c r="Y155" i="3" s="1"/>
  <c r="U154" i="3"/>
  <c r="U153" i="3"/>
  <c r="U152" i="3"/>
  <c r="X152" i="3" s="1"/>
  <c r="U151" i="3"/>
  <c r="X151" i="3" s="1"/>
  <c r="T151" i="3"/>
  <c r="Y151" i="3" s="1"/>
  <c r="U150" i="3"/>
  <c r="X150" i="3" s="1"/>
  <c r="U149" i="3"/>
  <c r="X149" i="3" s="1"/>
  <c r="T149" i="3"/>
  <c r="U148" i="3"/>
  <c r="X148" i="3" s="1"/>
  <c r="U147" i="3"/>
  <c r="X147" i="3" s="1"/>
  <c r="T147" i="3"/>
  <c r="Y147" i="3" s="1"/>
  <c r="U146" i="3"/>
  <c r="U145" i="3"/>
  <c r="U144" i="3"/>
  <c r="X144" i="3" s="1"/>
  <c r="U143" i="3"/>
  <c r="X143" i="3" s="1"/>
  <c r="T143" i="3"/>
  <c r="Y143" i="3" s="1"/>
  <c r="V143" i="3"/>
  <c r="U142" i="3"/>
  <c r="X142" i="3" s="1"/>
  <c r="U141" i="3"/>
  <c r="T141" i="3"/>
  <c r="U140" i="3"/>
  <c r="X140" i="3" s="1"/>
  <c r="T140" i="3"/>
  <c r="U139" i="3"/>
  <c r="X139" i="3" s="1"/>
  <c r="T139" i="3"/>
  <c r="Y139" i="3" s="1"/>
  <c r="AA138" i="3"/>
  <c r="Z138" i="3"/>
  <c r="U193" i="3"/>
  <c r="X193" i="3" s="1"/>
  <c r="T193" i="3"/>
  <c r="U192" i="3"/>
  <c r="X192" i="3" s="1"/>
  <c r="T192" i="3"/>
  <c r="Y192" i="3" s="1"/>
  <c r="U191" i="3"/>
  <c r="X191" i="3" s="1"/>
  <c r="T191" i="3"/>
  <c r="U203" i="3"/>
  <c r="X203" i="3" s="1"/>
  <c r="U202" i="3"/>
  <c r="X202" i="3" s="1"/>
  <c r="T202" i="3"/>
  <c r="Y202" i="3" s="1"/>
  <c r="AA201" i="3"/>
  <c r="Z201" i="3"/>
  <c r="AC190" i="3"/>
  <c r="AB190" i="3"/>
  <c r="AA190" i="3"/>
  <c r="Z190" i="3"/>
  <c r="U95" i="3"/>
  <c r="X95" i="3" s="1"/>
  <c r="U94" i="3"/>
  <c r="X94" i="3" s="1"/>
  <c r="T94" i="3"/>
  <c r="Y94" i="3" s="1"/>
  <c r="U93" i="3"/>
  <c r="X93" i="3" s="1"/>
  <c r="U92" i="3"/>
  <c r="X92" i="3" s="1"/>
  <c r="T92" i="3"/>
  <c r="U91" i="3"/>
  <c r="X91" i="3" s="1"/>
  <c r="T91" i="3"/>
  <c r="U90" i="3"/>
  <c r="X90" i="3" s="1"/>
  <c r="T90" i="3"/>
  <c r="Y90" i="3" s="1"/>
  <c r="U89" i="3"/>
  <c r="U88" i="3"/>
  <c r="U87" i="3"/>
  <c r="X87" i="3" s="1"/>
  <c r="U86" i="3"/>
  <c r="X86" i="3" s="1"/>
  <c r="T86" i="3"/>
  <c r="Y86" i="3" s="1"/>
  <c r="V86" i="3"/>
  <c r="U85" i="3"/>
  <c r="X85" i="3" s="1"/>
  <c r="U84" i="3"/>
  <c r="X84" i="3" s="1"/>
  <c r="T84" i="3"/>
  <c r="U83" i="3"/>
  <c r="T83" i="3" s="1"/>
  <c r="U82" i="3"/>
  <c r="X82" i="3" s="1"/>
  <c r="T82" i="3"/>
  <c r="Y82" i="3" s="1"/>
  <c r="U81" i="3"/>
  <c r="U80" i="3"/>
  <c r="U79" i="3"/>
  <c r="T79" i="3" s="1"/>
  <c r="Y79" i="3" s="1"/>
  <c r="U78" i="3"/>
  <c r="X78" i="3" s="1"/>
  <c r="T78" i="3"/>
  <c r="Y78" i="3" s="1"/>
  <c r="U77" i="3"/>
  <c r="X77" i="3" s="1"/>
  <c r="U76" i="3"/>
  <c r="X76" i="3" s="1"/>
  <c r="T76" i="3"/>
  <c r="U75" i="3"/>
  <c r="X75" i="3" s="1"/>
  <c r="U74" i="3"/>
  <c r="X74" i="3" s="1"/>
  <c r="T74" i="3"/>
  <c r="Y74" i="3" s="1"/>
  <c r="U73" i="3"/>
  <c r="U72" i="3"/>
  <c r="U71" i="3"/>
  <c r="X71" i="3" s="1"/>
  <c r="T71" i="3"/>
  <c r="Y71" i="3" s="1"/>
  <c r="U70" i="3"/>
  <c r="U69" i="3"/>
  <c r="U68" i="3"/>
  <c r="X68" i="3" s="1"/>
  <c r="AB67" i="3"/>
  <c r="E108" i="3"/>
  <c r="D108" i="3"/>
  <c r="C108" i="3"/>
  <c r="U103" i="3"/>
  <c r="X103" i="3" s="1"/>
  <c r="X102" i="3" s="1"/>
  <c r="T103" i="3"/>
  <c r="Y103" i="3" s="1"/>
  <c r="AA67" i="3"/>
  <c r="Z67" i="3"/>
  <c r="F3" i="5"/>
  <c r="F4" i="5"/>
  <c r="F2" i="5"/>
  <c r="B5" i="5"/>
  <c r="B3" i="5" s="1"/>
  <c r="E46" i="3"/>
  <c r="D46" i="3"/>
  <c r="C46" i="3"/>
  <c r="E42" i="3"/>
  <c r="D42" i="3"/>
  <c r="C42" i="3"/>
  <c r="U104" i="7"/>
  <c r="S98" i="7"/>
  <c r="U98" i="7" s="1"/>
  <c r="Q67" i="7"/>
  <c r="S37" i="7"/>
  <c r="J190" i="7"/>
  <c r="Q190" i="7" s="1"/>
  <c r="S190" i="7" s="1"/>
  <c r="T189" i="7"/>
  <c r="U193" i="7"/>
  <c r="U171" i="7"/>
  <c r="S125" i="7"/>
  <c r="U125" i="7" s="1"/>
  <c r="U181" i="7"/>
  <c r="U197" i="7"/>
  <c r="U196" i="7"/>
  <c r="S196" i="7"/>
  <c r="U112" i="7"/>
  <c r="Q183" i="7"/>
  <c r="S183" i="7" s="1"/>
  <c r="U195" i="7"/>
  <c r="S193" i="7"/>
  <c r="S156" i="7"/>
  <c r="U156" i="7" s="1"/>
  <c r="S204" i="7"/>
  <c r="Q203" i="7"/>
  <c r="S171" i="7"/>
  <c r="J138" i="7"/>
  <c r="S112" i="7"/>
  <c r="U204" i="7"/>
  <c r="U203" i="7"/>
  <c r="S203" i="7"/>
  <c r="J189" i="7"/>
  <c r="S67" i="7"/>
  <c r="U67" i="7"/>
  <c r="Q189" i="7"/>
  <c r="S185" i="3"/>
  <c r="U204" i="3"/>
  <c r="R204" i="3"/>
  <c r="P204" i="3"/>
  <c r="O204" i="3"/>
  <c r="N204" i="3"/>
  <c r="M204" i="3"/>
  <c r="L204" i="3"/>
  <c r="K204" i="3"/>
  <c r="I204" i="3"/>
  <c r="R201" i="3"/>
  <c r="P201" i="3"/>
  <c r="O201" i="3"/>
  <c r="N201" i="3"/>
  <c r="M201" i="3"/>
  <c r="L201" i="3"/>
  <c r="K201" i="3"/>
  <c r="I201" i="3"/>
  <c r="U197" i="3"/>
  <c r="R197" i="3"/>
  <c r="P197" i="3"/>
  <c r="O197" i="3"/>
  <c r="N197" i="3"/>
  <c r="M197" i="3"/>
  <c r="L197" i="3"/>
  <c r="K197" i="3"/>
  <c r="I197" i="3"/>
  <c r="U194" i="3"/>
  <c r="R194" i="3"/>
  <c r="R171" i="3" s="1"/>
  <c r="P194" i="3"/>
  <c r="O194" i="3"/>
  <c r="N194" i="3"/>
  <c r="N171" i="3" s="1"/>
  <c r="M194" i="3"/>
  <c r="L194" i="3"/>
  <c r="K194" i="3"/>
  <c r="I194" i="3"/>
  <c r="E205" i="3"/>
  <c r="D205" i="3"/>
  <c r="C205" i="3"/>
  <c r="E203" i="3"/>
  <c r="D203" i="3"/>
  <c r="C203" i="3"/>
  <c r="E202" i="3"/>
  <c r="D202" i="3"/>
  <c r="C202" i="3"/>
  <c r="E200" i="3"/>
  <c r="D200" i="3"/>
  <c r="C200" i="3"/>
  <c r="E199" i="3"/>
  <c r="D199" i="3"/>
  <c r="C199" i="3"/>
  <c r="E198" i="3"/>
  <c r="D198" i="3"/>
  <c r="C198" i="3"/>
  <c r="R190" i="3"/>
  <c r="O190" i="3"/>
  <c r="O171" i="3" s="1"/>
  <c r="N190" i="3"/>
  <c r="M190" i="3"/>
  <c r="L190" i="3"/>
  <c r="K190" i="3"/>
  <c r="I190" i="3"/>
  <c r="O180" i="3"/>
  <c r="N180" i="3"/>
  <c r="M180" i="3"/>
  <c r="M171" i="3" s="1"/>
  <c r="L180" i="3"/>
  <c r="K180" i="3"/>
  <c r="I180" i="3"/>
  <c r="E196" i="3"/>
  <c r="D196" i="3"/>
  <c r="C196" i="3"/>
  <c r="E195" i="3"/>
  <c r="D195" i="3"/>
  <c r="C195" i="3"/>
  <c r="E193" i="3"/>
  <c r="D193" i="3"/>
  <c r="C193" i="3"/>
  <c r="E192" i="3"/>
  <c r="D192" i="3"/>
  <c r="C192" i="3"/>
  <c r="E191" i="3"/>
  <c r="D191" i="3"/>
  <c r="C191" i="3"/>
  <c r="E189" i="3"/>
  <c r="D189" i="3"/>
  <c r="C189" i="3"/>
  <c r="E188" i="3"/>
  <c r="D188" i="3"/>
  <c r="C188" i="3"/>
  <c r="E187" i="3"/>
  <c r="D187" i="3"/>
  <c r="C187" i="3"/>
  <c r="E186" i="3"/>
  <c r="D186" i="3"/>
  <c r="C186" i="3"/>
  <c r="Q198" i="3"/>
  <c r="S198" i="3"/>
  <c r="Q196" i="3"/>
  <c r="S196" i="3" s="1"/>
  <c r="Q187" i="3"/>
  <c r="S187" i="3" s="1"/>
  <c r="R12" i="3"/>
  <c r="A14" i="4"/>
  <c r="A13" i="4"/>
  <c r="A12" i="4"/>
  <c r="A11" i="4"/>
  <c r="A10" i="4"/>
  <c r="A9" i="4"/>
  <c r="A8" i="4"/>
  <c r="A7" i="4"/>
  <c r="A6" i="4"/>
  <c r="D14" i="4"/>
  <c r="D13" i="4"/>
  <c r="D12" i="4"/>
  <c r="D11" i="4"/>
  <c r="D10" i="4"/>
  <c r="D9" i="4"/>
  <c r="D8" i="4"/>
  <c r="D7" i="4"/>
  <c r="D4" i="4" s="1"/>
  <c r="E3" i="4" s="1"/>
  <c r="D6" i="4"/>
  <c r="D5" i="4"/>
  <c r="C4" i="4"/>
  <c r="A5" i="4"/>
  <c r="V164" i="3"/>
  <c r="Q179" i="3"/>
  <c r="S179" i="3"/>
  <c r="T179" i="3"/>
  <c r="Y179" i="3" s="1"/>
  <c r="Q178" i="3"/>
  <c r="S178" i="3"/>
  <c r="T178" i="3" s="1"/>
  <c r="Y178" i="3" s="1"/>
  <c r="Q177" i="3"/>
  <c r="S177" i="3"/>
  <c r="T177" i="3" s="1"/>
  <c r="Q176" i="3"/>
  <c r="S176" i="3"/>
  <c r="T176" i="3" s="1"/>
  <c r="Y176" i="3" s="1"/>
  <c r="V176" i="3"/>
  <c r="Q175" i="3"/>
  <c r="S175" i="3"/>
  <c r="T175" i="3"/>
  <c r="Y175" i="3" s="1"/>
  <c r="Q174" i="3"/>
  <c r="S174" i="3"/>
  <c r="Q173" i="3"/>
  <c r="S173" i="3"/>
  <c r="T173" i="3" s="1"/>
  <c r="Y173" i="3" s="1"/>
  <c r="Q169" i="3"/>
  <c r="S169" i="3"/>
  <c r="Q157" i="3"/>
  <c r="S157" i="3"/>
  <c r="Q148" i="3"/>
  <c r="S148" i="3"/>
  <c r="Q147" i="3"/>
  <c r="S147" i="3"/>
  <c r="Q143" i="3"/>
  <c r="S143" i="3"/>
  <c r="Q140" i="3"/>
  <c r="S140" i="3"/>
  <c r="Q131" i="3"/>
  <c r="S131" i="3"/>
  <c r="Q124" i="3"/>
  <c r="S124" i="3"/>
  <c r="T124" i="3" s="1"/>
  <c r="Y124" i="3" s="1"/>
  <c r="Q123" i="3"/>
  <c r="S123" i="3" s="1"/>
  <c r="T123" i="3" s="1"/>
  <c r="Y123" i="3" s="1"/>
  <c r="Q122" i="3"/>
  <c r="S122" i="3"/>
  <c r="Q121" i="3"/>
  <c r="S121" i="3"/>
  <c r="T121" i="3" s="1"/>
  <c r="Y121" i="3" s="1"/>
  <c r="Q120" i="3"/>
  <c r="S120" i="3" s="1"/>
  <c r="Q119" i="3"/>
  <c r="S119" i="3" s="1"/>
  <c r="Q118" i="3"/>
  <c r="S118" i="3" s="1"/>
  <c r="Q117" i="3"/>
  <c r="Q113" i="3" s="1"/>
  <c r="Q116" i="3"/>
  <c r="S116" i="3"/>
  <c r="T116" i="3" s="1"/>
  <c r="Y116" i="3" s="1"/>
  <c r="Q115" i="3"/>
  <c r="S115" i="3" s="1"/>
  <c r="Q114" i="3"/>
  <c r="S114" i="3" s="1"/>
  <c r="Q99" i="3"/>
  <c r="S99" i="3" s="1"/>
  <c r="S96" i="3" s="1"/>
  <c r="Q87" i="3"/>
  <c r="S87" i="3" s="1"/>
  <c r="Q82" i="3"/>
  <c r="S82" i="3" s="1"/>
  <c r="S67" i="3" s="1"/>
  <c r="Q74" i="3"/>
  <c r="S74" i="3" s="1"/>
  <c r="Q38" i="3"/>
  <c r="Q37" i="3"/>
  <c r="S37" i="3"/>
  <c r="T37" i="3" s="1"/>
  <c r="Y37" i="3" s="1"/>
  <c r="Q36" i="3"/>
  <c r="S36" i="3"/>
  <c r="T36" i="3" s="1"/>
  <c r="Y36" i="3" s="1"/>
  <c r="Q35" i="3"/>
  <c r="S35" i="3"/>
  <c r="T35" i="3" s="1"/>
  <c r="Y35" i="3" s="1"/>
  <c r="Q34" i="3"/>
  <c r="S34" i="3" s="1"/>
  <c r="T34" i="3" s="1"/>
  <c r="Q33" i="3"/>
  <c r="S33" i="3"/>
  <c r="T33" i="3" s="1"/>
  <c r="Y33" i="3" s="1"/>
  <c r="Q32" i="3"/>
  <c r="S32" i="3" s="1"/>
  <c r="T32" i="3" s="1"/>
  <c r="Q31" i="3"/>
  <c r="S31" i="3"/>
  <c r="T31" i="3"/>
  <c r="Y31" i="3" s="1"/>
  <c r="Q30" i="3"/>
  <c r="S30" i="3"/>
  <c r="T30" i="3" s="1"/>
  <c r="Y30" i="3" s="1"/>
  <c r="Q29" i="3"/>
  <c r="S29" i="3"/>
  <c r="T29" i="3"/>
  <c r="Y29" i="3" s="1"/>
  <c r="V29" i="3"/>
  <c r="Q28" i="3"/>
  <c r="S28" i="3" s="1"/>
  <c r="T28" i="3" s="1"/>
  <c r="Q27" i="3"/>
  <c r="S27" i="3"/>
  <c r="T27" i="3" s="1"/>
  <c r="Q26" i="3"/>
  <c r="S26" i="3" s="1"/>
  <c r="T26" i="3" s="1"/>
  <c r="Q25" i="3"/>
  <c r="S25" i="3"/>
  <c r="T25" i="3"/>
  <c r="Y25" i="3" s="1"/>
  <c r="Q24" i="3"/>
  <c r="S24" i="3"/>
  <c r="T24" i="3" s="1"/>
  <c r="Y24" i="3" s="1"/>
  <c r="Q23" i="3"/>
  <c r="S23" i="3"/>
  <c r="T23" i="3" s="1"/>
  <c r="Q22" i="3"/>
  <c r="S22" i="3"/>
  <c r="T22" i="3" s="1"/>
  <c r="Y22" i="3" s="1"/>
  <c r="V22" i="3"/>
  <c r="Q21" i="3"/>
  <c r="S21" i="3"/>
  <c r="T21" i="3"/>
  <c r="Y21" i="3" s="1"/>
  <c r="Q20" i="3"/>
  <c r="Q12" i="3" s="1"/>
  <c r="Q19" i="3"/>
  <c r="S19" i="3"/>
  <c r="T19" i="3" s="1"/>
  <c r="Q18" i="3"/>
  <c r="S18" i="3"/>
  <c r="T18" i="3" s="1"/>
  <c r="Y18" i="3" s="1"/>
  <c r="Q17" i="3"/>
  <c r="S17" i="3"/>
  <c r="T17" i="3" s="1"/>
  <c r="Q16" i="3"/>
  <c r="S16" i="3" s="1"/>
  <c r="Q15" i="3"/>
  <c r="S15" i="3"/>
  <c r="T15" i="3"/>
  <c r="Y15" i="3" s="1"/>
  <c r="Q14" i="3"/>
  <c r="S14" i="3"/>
  <c r="U180" i="3"/>
  <c r="U172" i="3"/>
  <c r="U171" i="3" s="1"/>
  <c r="U168" i="3"/>
  <c r="U167" i="3"/>
  <c r="U164" i="3"/>
  <c r="U125" i="3"/>
  <c r="U113" i="3"/>
  <c r="U110" i="3"/>
  <c r="U102" i="3"/>
  <c r="U96" i="3"/>
  <c r="U40" i="3"/>
  <c r="U38" i="3"/>
  <c r="U12" i="3"/>
  <c r="S164" i="3"/>
  <c r="R180" i="3"/>
  <c r="R172" i="3"/>
  <c r="R168" i="3"/>
  <c r="R167" i="3"/>
  <c r="R164" i="3"/>
  <c r="R156" i="3"/>
  <c r="R138" i="3"/>
  <c r="R112" i="3" s="1"/>
  <c r="R125" i="3"/>
  <c r="R113" i="3"/>
  <c r="R110" i="3"/>
  <c r="R102" i="3"/>
  <c r="R96" i="3"/>
  <c r="R67" i="3"/>
  <c r="R40" i="3"/>
  <c r="R38" i="3"/>
  <c r="R10" i="3" s="1"/>
  <c r="R9" i="3" s="1"/>
  <c r="R8" i="3" s="1"/>
  <c r="R7" i="3" s="1"/>
  <c r="Q164" i="3"/>
  <c r="O172" i="3"/>
  <c r="N172" i="3"/>
  <c r="M172" i="3"/>
  <c r="L172" i="3"/>
  <c r="L171" i="3" s="1"/>
  <c r="K172" i="3"/>
  <c r="J172" i="3"/>
  <c r="I172" i="3"/>
  <c r="I171" i="3" s="1"/>
  <c r="O168" i="3"/>
  <c r="O167" i="3" s="1"/>
  <c r="N168" i="3"/>
  <c r="N167" i="3" s="1"/>
  <c r="M168" i="3"/>
  <c r="M167" i="3" s="1"/>
  <c r="L168" i="3"/>
  <c r="L167" i="3"/>
  <c r="K168" i="3"/>
  <c r="K167" i="3" s="1"/>
  <c r="I168" i="3"/>
  <c r="I167" i="3"/>
  <c r="O164" i="3"/>
  <c r="N164" i="3"/>
  <c r="M164" i="3"/>
  <c r="L164" i="3"/>
  <c r="K164" i="3"/>
  <c r="J164" i="3"/>
  <c r="I165" i="3"/>
  <c r="I164" i="3"/>
  <c r="O156" i="3"/>
  <c r="N156" i="3"/>
  <c r="M156" i="3"/>
  <c r="L156" i="3"/>
  <c r="K156" i="3"/>
  <c r="K112" i="3" s="1"/>
  <c r="I156" i="3"/>
  <c r="O138" i="3"/>
  <c r="N138" i="3"/>
  <c r="M138" i="3"/>
  <c r="L138" i="3"/>
  <c r="K138" i="3"/>
  <c r="I138" i="3"/>
  <c r="I112" i="3" s="1"/>
  <c r="O125" i="3"/>
  <c r="O112" i="3" s="1"/>
  <c r="N125" i="3"/>
  <c r="M125" i="3"/>
  <c r="L125" i="3"/>
  <c r="K125" i="3"/>
  <c r="I125" i="3"/>
  <c r="O113" i="3"/>
  <c r="N113" i="3"/>
  <c r="N112" i="3" s="1"/>
  <c r="M113" i="3"/>
  <c r="M112" i="3" s="1"/>
  <c r="L113" i="3"/>
  <c r="K113" i="3"/>
  <c r="J113" i="3"/>
  <c r="I113" i="3"/>
  <c r="O110" i="3"/>
  <c r="N110" i="3"/>
  <c r="M110" i="3"/>
  <c r="L110" i="3"/>
  <c r="K110" i="3"/>
  <c r="I110" i="3"/>
  <c r="O102" i="3"/>
  <c r="N102" i="3"/>
  <c r="M102" i="3"/>
  <c r="L102" i="3"/>
  <c r="K102" i="3"/>
  <c r="I102" i="3"/>
  <c r="O96" i="3"/>
  <c r="N96" i="3"/>
  <c r="M96" i="3"/>
  <c r="L96" i="3"/>
  <c r="K96" i="3"/>
  <c r="I96" i="3"/>
  <c r="O67" i="3"/>
  <c r="N67" i="3"/>
  <c r="M67" i="3"/>
  <c r="L67" i="3"/>
  <c r="K67" i="3"/>
  <c r="I67" i="3"/>
  <c r="O40" i="3"/>
  <c r="N40" i="3"/>
  <c r="M40" i="3"/>
  <c r="L40" i="3"/>
  <c r="L10" i="3" s="1"/>
  <c r="L9" i="3" s="1"/>
  <c r="L8" i="3" s="1"/>
  <c r="L7" i="3" s="1"/>
  <c r="K40" i="3"/>
  <c r="I40" i="3"/>
  <c r="O38" i="3"/>
  <c r="N38" i="3"/>
  <c r="M38" i="3"/>
  <c r="M10" i="3" s="1"/>
  <c r="L38" i="3"/>
  <c r="K38" i="3"/>
  <c r="J38" i="3"/>
  <c r="I38" i="3"/>
  <c r="O12" i="3"/>
  <c r="N12" i="3"/>
  <c r="N10" i="3" s="1"/>
  <c r="N9" i="3" s="1"/>
  <c r="N8" i="3" s="1"/>
  <c r="N7" i="3" s="1"/>
  <c r="L12" i="3"/>
  <c r="K12" i="3"/>
  <c r="K10" i="3" s="1"/>
  <c r="J12" i="3"/>
  <c r="I12" i="3"/>
  <c r="I10" i="3" s="1"/>
  <c r="E184" i="3"/>
  <c r="D184" i="3"/>
  <c r="C184" i="3"/>
  <c r="E183" i="3"/>
  <c r="D183" i="3"/>
  <c r="C183" i="3"/>
  <c r="E182" i="3"/>
  <c r="D182" i="3"/>
  <c r="C182" i="3"/>
  <c r="E181" i="3"/>
  <c r="D181" i="3"/>
  <c r="C181" i="3"/>
  <c r="E179" i="3"/>
  <c r="D179" i="3"/>
  <c r="C179" i="3"/>
  <c r="E178" i="3"/>
  <c r="D178" i="3"/>
  <c r="C178" i="3"/>
  <c r="E177" i="3"/>
  <c r="D177" i="3"/>
  <c r="C177" i="3"/>
  <c r="E176" i="3"/>
  <c r="D176" i="3"/>
  <c r="C176" i="3"/>
  <c r="E175" i="3"/>
  <c r="D175" i="3"/>
  <c r="C175" i="3"/>
  <c r="E174" i="3"/>
  <c r="D174" i="3"/>
  <c r="C174" i="3"/>
  <c r="E173" i="3"/>
  <c r="D173" i="3"/>
  <c r="C173" i="3"/>
  <c r="E170" i="3"/>
  <c r="D170" i="3"/>
  <c r="C170" i="3"/>
  <c r="E169" i="3"/>
  <c r="D169" i="3"/>
  <c r="C169" i="3"/>
  <c r="E166" i="3"/>
  <c r="D166" i="3"/>
  <c r="C166" i="3"/>
  <c r="E163" i="3"/>
  <c r="D163" i="3"/>
  <c r="C163" i="3"/>
  <c r="E162" i="3"/>
  <c r="D162" i="3"/>
  <c r="C162" i="3"/>
  <c r="E161" i="3"/>
  <c r="D161" i="3"/>
  <c r="C161" i="3"/>
  <c r="E159" i="3"/>
  <c r="D159" i="3"/>
  <c r="C159" i="3"/>
  <c r="E158" i="3"/>
  <c r="D158" i="3"/>
  <c r="C158" i="3"/>
  <c r="E157" i="3"/>
  <c r="D157" i="3"/>
  <c r="C157" i="3"/>
  <c r="E155" i="3"/>
  <c r="D155" i="3"/>
  <c r="C155" i="3"/>
  <c r="E154" i="3"/>
  <c r="D154" i="3"/>
  <c r="C154" i="3"/>
  <c r="E153" i="3"/>
  <c r="D153" i="3"/>
  <c r="C153" i="3"/>
  <c r="E152" i="3"/>
  <c r="D152" i="3"/>
  <c r="C152" i="3"/>
  <c r="E151" i="3"/>
  <c r="D151" i="3"/>
  <c r="C151" i="3"/>
  <c r="E150" i="3"/>
  <c r="D150" i="3"/>
  <c r="C150" i="3"/>
  <c r="E149" i="3"/>
  <c r="D149" i="3"/>
  <c r="C149" i="3"/>
  <c r="E148" i="3"/>
  <c r="D148" i="3"/>
  <c r="C148" i="3"/>
  <c r="E147" i="3"/>
  <c r="D147" i="3"/>
  <c r="C147" i="3"/>
  <c r="E146" i="3"/>
  <c r="D146" i="3"/>
  <c r="C146" i="3"/>
  <c r="E145" i="3"/>
  <c r="D145" i="3"/>
  <c r="C145" i="3"/>
  <c r="E144" i="3"/>
  <c r="D144" i="3"/>
  <c r="C144" i="3"/>
  <c r="E143" i="3"/>
  <c r="D143" i="3"/>
  <c r="C143" i="3"/>
  <c r="E142" i="3"/>
  <c r="D142" i="3"/>
  <c r="C142" i="3"/>
  <c r="E141" i="3"/>
  <c r="D141" i="3"/>
  <c r="C141" i="3"/>
  <c r="E140" i="3"/>
  <c r="D140" i="3"/>
  <c r="C140" i="3"/>
  <c r="E139" i="3"/>
  <c r="D139" i="3"/>
  <c r="C139" i="3"/>
  <c r="E137" i="3"/>
  <c r="D137" i="3"/>
  <c r="C137" i="3"/>
  <c r="E136" i="3"/>
  <c r="D136" i="3"/>
  <c r="C136" i="3"/>
  <c r="E135" i="3"/>
  <c r="D135" i="3"/>
  <c r="C135" i="3"/>
  <c r="E134" i="3"/>
  <c r="D134" i="3"/>
  <c r="C134" i="3"/>
  <c r="E133" i="3"/>
  <c r="D133" i="3"/>
  <c r="C133" i="3"/>
  <c r="E132" i="3"/>
  <c r="D132" i="3"/>
  <c r="C132" i="3"/>
  <c r="E131" i="3"/>
  <c r="D131" i="3"/>
  <c r="C131" i="3"/>
  <c r="E130" i="3"/>
  <c r="D130" i="3"/>
  <c r="C130" i="3"/>
  <c r="E129" i="3"/>
  <c r="D129" i="3"/>
  <c r="C129" i="3"/>
  <c r="E128" i="3"/>
  <c r="D128" i="3"/>
  <c r="C128" i="3"/>
  <c r="E127" i="3"/>
  <c r="D127" i="3"/>
  <c r="C127" i="3"/>
  <c r="E126" i="3"/>
  <c r="D126" i="3"/>
  <c r="C126" i="3"/>
  <c r="E124" i="3"/>
  <c r="D124" i="3"/>
  <c r="C124" i="3"/>
  <c r="E123" i="3"/>
  <c r="D123" i="3"/>
  <c r="C123" i="3"/>
  <c r="E122" i="3"/>
  <c r="D122" i="3"/>
  <c r="C122" i="3"/>
  <c r="E121" i="3"/>
  <c r="D121" i="3"/>
  <c r="C121" i="3"/>
  <c r="E120" i="3"/>
  <c r="D120" i="3"/>
  <c r="C120" i="3"/>
  <c r="E119" i="3"/>
  <c r="D119" i="3"/>
  <c r="C119" i="3"/>
  <c r="E118" i="3"/>
  <c r="D118" i="3"/>
  <c r="C118" i="3"/>
  <c r="E117" i="3"/>
  <c r="D117" i="3"/>
  <c r="C117" i="3"/>
  <c r="E116" i="3"/>
  <c r="D116" i="3"/>
  <c r="C116" i="3"/>
  <c r="E115" i="3"/>
  <c r="D115" i="3"/>
  <c r="C115" i="3"/>
  <c r="E114" i="3"/>
  <c r="D114" i="3"/>
  <c r="C114" i="3"/>
  <c r="E111" i="3"/>
  <c r="D111" i="3"/>
  <c r="C111" i="3"/>
  <c r="E109" i="3"/>
  <c r="D109" i="3"/>
  <c r="C109" i="3"/>
  <c r="E107" i="3"/>
  <c r="D107" i="3"/>
  <c r="C107" i="3"/>
  <c r="E106" i="3"/>
  <c r="D106" i="3"/>
  <c r="C106" i="3"/>
  <c r="E105" i="3"/>
  <c r="D105" i="3"/>
  <c r="C105" i="3"/>
  <c r="E104" i="3"/>
  <c r="D104" i="3"/>
  <c r="C104" i="3"/>
  <c r="E103" i="3"/>
  <c r="D103" i="3"/>
  <c r="C103" i="3"/>
  <c r="E101" i="3"/>
  <c r="D101" i="3"/>
  <c r="C101" i="3"/>
  <c r="E100" i="3"/>
  <c r="D100" i="3"/>
  <c r="C100" i="3"/>
  <c r="E99" i="3"/>
  <c r="D99" i="3"/>
  <c r="C99" i="3"/>
  <c r="E98" i="3"/>
  <c r="D98" i="3"/>
  <c r="C98" i="3"/>
  <c r="E97" i="3"/>
  <c r="D97" i="3"/>
  <c r="C97" i="3"/>
  <c r="E95" i="3"/>
  <c r="D95" i="3"/>
  <c r="C95" i="3"/>
  <c r="E94" i="3"/>
  <c r="D94" i="3"/>
  <c r="C94" i="3"/>
  <c r="E93" i="3"/>
  <c r="D93" i="3"/>
  <c r="C93" i="3"/>
  <c r="E92" i="3"/>
  <c r="D92" i="3"/>
  <c r="C92" i="3"/>
  <c r="E91" i="3"/>
  <c r="D91" i="3"/>
  <c r="C91" i="3"/>
  <c r="E90" i="3"/>
  <c r="D90" i="3"/>
  <c r="C90" i="3"/>
  <c r="E89" i="3"/>
  <c r="D89" i="3"/>
  <c r="C89" i="3"/>
  <c r="E88" i="3"/>
  <c r="D88" i="3"/>
  <c r="C88" i="3"/>
  <c r="E87" i="3"/>
  <c r="D87" i="3"/>
  <c r="C87" i="3"/>
  <c r="E86" i="3"/>
  <c r="D86" i="3"/>
  <c r="C86" i="3"/>
  <c r="E85" i="3"/>
  <c r="D85" i="3"/>
  <c r="C85" i="3"/>
  <c r="E84" i="3"/>
  <c r="D84" i="3"/>
  <c r="C84" i="3"/>
  <c r="E83" i="3"/>
  <c r="D83" i="3"/>
  <c r="C83" i="3"/>
  <c r="E82" i="3"/>
  <c r="D82" i="3"/>
  <c r="C82" i="3"/>
  <c r="E81" i="3"/>
  <c r="D81" i="3"/>
  <c r="C81" i="3"/>
  <c r="E80" i="3"/>
  <c r="D80" i="3"/>
  <c r="C80" i="3"/>
  <c r="E79" i="3"/>
  <c r="D79" i="3"/>
  <c r="C79" i="3"/>
  <c r="E78" i="3"/>
  <c r="D78" i="3"/>
  <c r="C78" i="3"/>
  <c r="E77" i="3"/>
  <c r="D77" i="3"/>
  <c r="C77" i="3"/>
  <c r="E76" i="3"/>
  <c r="D76" i="3"/>
  <c r="C76" i="3"/>
  <c r="E75" i="3"/>
  <c r="D75" i="3"/>
  <c r="C75" i="3"/>
  <c r="E74" i="3"/>
  <c r="D74" i="3"/>
  <c r="C74" i="3"/>
  <c r="E73" i="3"/>
  <c r="D73" i="3"/>
  <c r="C73" i="3"/>
  <c r="E72" i="3"/>
  <c r="D72" i="3"/>
  <c r="C72" i="3"/>
  <c r="E71" i="3"/>
  <c r="D71" i="3"/>
  <c r="C71" i="3"/>
  <c r="E70" i="3"/>
  <c r="D70" i="3"/>
  <c r="C70" i="3"/>
  <c r="E69" i="3"/>
  <c r="D69" i="3"/>
  <c r="C69" i="3"/>
  <c r="E68" i="3"/>
  <c r="D68" i="3"/>
  <c r="C68" i="3"/>
  <c r="E66" i="3"/>
  <c r="D66" i="3"/>
  <c r="C66" i="3"/>
  <c r="E65" i="3"/>
  <c r="D65" i="3"/>
  <c r="C65" i="3"/>
  <c r="E64" i="3"/>
  <c r="D64" i="3"/>
  <c r="C64" i="3"/>
  <c r="E63" i="3"/>
  <c r="D63" i="3"/>
  <c r="C63" i="3"/>
  <c r="E62" i="3"/>
  <c r="D62" i="3"/>
  <c r="C62" i="3"/>
  <c r="E61" i="3"/>
  <c r="D61" i="3"/>
  <c r="C61" i="3"/>
  <c r="E60" i="3"/>
  <c r="D60" i="3"/>
  <c r="C60" i="3"/>
  <c r="E59" i="3"/>
  <c r="D59" i="3"/>
  <c r="C59" i="3"/>
  <c r="E58" i="3"/>
  <c r="D58" i="3"/>
  <c r="C58" i="3"/>
  <c r="E57" i="3"/>
  <c r="D57" i="3"/>
  <c r="C57" i="3"/>
  <c r="E56" i="3"/>
  <c r="D56" i="3"/>
  <c r="C56" i="3"/>
  <c r="E55" i="3"/>
  <c r="D55" i="3"/>
  <c r="C55" i="3"/>
  <c r="E54" i="3"/>
  <c r="D54" i="3"/>
  <c r="C54" i="3"/>
  <c r="E53" i="3"/>
  <c r="D53" i="3"/>
  <c r="C53" i="3"/>
  <c r="E52" i="3"/>
  <c r="D52" i="3"/>
  <c r="C52" i="3"/>
  <c r="E51" i="3"/>
  <c r="D51" i="3"/>
  <c r="C51" i="3"/>
  <c r="E50" i="3"/>
  <c r="D50" i="3"/>
  <c r="C50" i="3"/>
  <c r="E49" i="3"/>
  <c r="D49" i="3"/>
  <c r="C49" i="3"/>
  <c r="E48" i="3"/>
  <c r="D48" i="3"/>
  <c r="C48" i="3"/>
  <c r="E47" i="3"/>
  <c r="D47" i="3"/>
  <c r="C47" i="3"/>
  <c r="E45" i="3"/>
  <c r="D45" i="3"/>
  <c r="C45" i="3"/>
  <c r="E44" i="3"/>
  <c r="D44" i="3"/>
  <c r="C44" i="3"/>
  <c r="E43" i="3"/>
  <c r="D43" i="3"/>
  <c r="C43" i="3"/>
  <c r="E41" i="3"/>
  <c r="D41" i="3"/>
  <c r="C41" i="3"/>
  <c r="E39" i="3"/>
  <c r="D39" i="3"/>
  <c r="C39" i="3"/>
  <c r="E37" i="3"/>
  <c r="D37" i="3"/>
  <c r="C37" i="3"/>
  <c r="E36" i="3"/>
  <c r="D36" i="3"/>
  <c r="C36" i="3"/>
  <c r="E35" i="3"/>
  <c r="D35" i="3"/>
  <c r="C35" i="3"/>
  <c r="E34" i="3"/>
  <c r="D34" i="3"/>
  <c r="C34" i="3"/>
  <c r="E33" i="3"/>
  <c r="D33" i="3"/>
  <c r="C33" i="3"/>
  <c r="E32" i="3"/>
  <c r="D32" i="3"/>
  <c r="C32" i="3"/>
  <c r="E31" i="3"/>
  <c r="D31" i="3"/>
  <c r="C31" i="3"/>
  <c r="E30" i="3"/>
  <c r="D30" i="3"/>
  <c r="C30" i="3"/>
  <c r="E29" i="3"/>
  <c r="D29" i="3"/>
  <c r="C29" i="3"/>
  <c r="E28" i="3"/>
  <c r="D28" i="3"/>
  <c r="C28" i="3"/>
  <c r="E27" i="3"/>
  <c r="D27" i="3"/>
  <c r="C27" i="3"/>
  <c r="E26" i="3"/>
  <c r="D26" i="3"/>
  <c r="C26" i="3"/>
  <c r="E25" i="3"/>
  <c r="D25" i="3"/>
  <c r="C25" i="3"/>
  <c r="E24" i="3"/>
  <c r="D24" i="3"/>
  <c r="C24" i="3"/>
  <c r="E23" i="3"/>
  <c r="D23" i="3"/>
  <c r="C23" i="3"/>
  <c r="E22" i="3"/>
  <c r="D22" i="3"/>
  <c r="C22" i="3"/>
  <c r="E21" i="3"/>
  <c r="D21" i="3"/>
  <c r="C21" i="3"/>
  <c r="E20" i="3"/>
  <c r="D20" i="3"/>
  <c r="C20" i="3"/>
  <c r="E19" i="3"/>
  <c r="D19" i="3"/>
  <c r="C19" i="3"/>
  <c r="E18" i="3"/>
  <c r="D18" i="3"/>
  <c r="C18" i="3"/>
  <c r="E17" i="3"/>
  <c r="D17" i="3"/>
  <c r="C17" i="3"/>
  <c r="E16" i="3"/>
  <c r="D16" i="3"/>
  <c r="C16" i="3"/>
  <c r="E15" i="3"/>
  <c r="D15" i="3"/>
  <c r="C15" i="3"/>
  <c r="E14" i="3"/>
  <c r="D14" i="3"/>
  <c r="C14" i="3"/>
  <c r="T197" i="3"/>
  <c r="S38" i="3"/>
  <c r="X190" i="3"/>
  <c r="Y96" i="3"/>
  <c r="X96" i="3"/>
  <c r="J194" i="3"/>
  <c r="V197" i="3"/>
  <c r="Q195" i="3"/>
  <c r="S195" i="3"/>
  <c r="S194" i="3"/>
  <c r="J204" i="3"/>
  <c r="J190" i="3"/>
  <c r="T194" i="3"/>
  <c r="T119" i="3"/>
  <c r="Y119" i="3" s="1"/>
  <c r="V119" i="3"/>
  <c r="U201" i="3"/>
  <c r="V124" i="3"/>
  <c r="J201" i="3"/>
  <c r="J96" i="3"/>
  <c r="J102" i="3"/>
  <c r="V116" i="3"/>
  <c r="T118" i="3"/>
  <c r="Y118" i="3" s="1"/>
  <c r="V118" i="3"/>
  <c r="L112" i="3"/>
  <c r="J180" i="3"/>
  <c r="J171" i="3" s="1"/>
  <c r="U156" i="3"/>
  <c r="K171" i="3"/>
  <c r="S170" i="3"/>
  <c r="T170" i="3"/>
  <c r="Y170" i="3" s="1"/>
  <c r="Q168" i="3"/>
  <c r="Q167" i="3" s="1"/>
  <c r="S199" i="3"/>
  <c r="Q180" i="3"/>
  <c r="S183" i="3"/>
  <c r="S180" i="3"/>
  <c r="S203" i="3"/>
  <c r="S201" i="3" s="1"/>
  <c r="Q201" i="3"/>
  <c r="T174" i="3"/>
  <c r="Y174" i="3" s="1"/>
  <c r="S68" i="3"/>
  <c r="T14" i="3"/>
  <c r="Y14" i="3" s="1"/>
  <c r="T120" i="3"/>
  <c r="Y120" i="3" s="1"/>
  <c r="V120" i="3"/>
  <c r="J156" i="3"/>
  <c r="Q100" i="3"/>
  <c r="J197" i="3"/>
  <c r="V123" i="3"/>
  <c r="T180" i="3"/>
  <c r="J125" i="3"/>
  <c r="Q109" i="3"/>
  <c r="S109" i="3"/>
  <c r="S102" i="3" s="1"/>
  <c r="Q110" i="3"/>
  <c r="O10" i="3"/>
  <c r="T110" i="3"/>
  <c r="Q192" i="3"/>
  <c r="S192" i="3" s="1"/>
  <c r="S190" i="3" s="1"/>
  <c r="Q200" i="3"/>
  <c r="S200" i="3" s="1"/>
  <c r="Q172" i="3"/>
  <c r="J168" i="3"/>
  <c r="J167" i="3"/>
  <c r="Q204" i="3"/>
  <c r="T125" i="3"/>
  <c r="J110" i="3"/>
  <c r="T40" i="3"/>
  <c r="T96" i="3"/>
  <c r="T204" i="3"/>
  <c r="T115" i="3"/>
  <c r="Y115" i="3" s="1"/>
  <c r="V115" i="3"/>
  <c r="Q125" i="3"/>
  <c r="S128" i="3"/>
  <c r="S125" i="3" s="1"/>
  <c r="S141" i="3"/>
  <c r="V122" i="3"/>
  <c r="T122" i="3"/>
  <c r="Y122" i="3" s="1"/>
  <c r="T169" i="3"/>
  <c r="Y169" i="3" s="1"/>
  <c r="Y168" i="3" s="1"/>
  <c r="Y167" i="3" s="1"/>
  <c r="V103" i="3"/>
  <c r="T102" i="3"/>
  <c r="T190" i="3"/>
  <c r="V192" i="3"/>
  <c r="S108" i="3"/>
  <c r="Q156" i="3"/>
  <c r="S158" i="3"/>
  <c r="S156" i="3"/>
  <c r="U190" i="3"/>
  <c r="Q194" i="3"/>
  <c r="S168" i="3"/>
  <c r="S167" i="3"/>
  <c r="Q102" i="3"/>
  <c r="S100" i="3"/>
  <c r="V174" i="3"/>
  <c r="Q197" i="3"/>
  <c r="V14" i="3"/>
  <c r="V169" i="3"/>
  <c r="T168" i="3"/>
  <c r="T167" i="3" s="1"/>
  <c r="W200" i="8"/>
  <c r="T157" i="8"/>
  <c r="V99" i="8"/>
  <c r="T143" i="8"/>
  <c r="Y143" i="8" s="1"/>
  <c r="X102" i="8"/>
  <c r="Y102" i="8" s="1"/>
  <c r="U101" i="8"/>
  <c r="T201" i="8"/>
  <c r="V201" i="8" s="1"/>
  <c r="V200" i="8" s="1"/>
  <c r="X201" i="8"/>
  <c r="T140" i="8"/>
  <c r="X156" i="8"/>
  <c r="T156" i="8"/>
  <c r="V156" i="8" s="1"/>
  <c r="S114" i="8"/>
  <c r="V114" i="8" s="1"/>
  <c r="X68" i="8"/>
  <c r="T68" i="8"/>
  <c r="V68" i="8" s="1"/>
  <c r="Q104" i="8"/>
  <c r="T81" i="8"/>
  <c r="X81" i="8"/>
  <c r="Q156" i="8"/>
  <c r="S156" i="8" s="1"/>
  <c r="V105" i="8"/>
  <c r="Y110" i="8"/>
  <c r="Y109" i="8" s="1"/>
  <c r="T109" i="8"/>
  <c r="Y183" i="8"/>
  <c r="T196" i="8"/>
  <c r="V110" i="8"/>
  <c r="V109" i="8" s="1"/>
  <c r="T76" i="8"/>
  <c r="V76" i="8" s="1"/>
  <c r="Y185" i="8"/>
  <c r="X82" i="8"/>
  <c r="T85" i="8"/>
  <c r="Y85" i="8" s="1"/>
  <c r="V85" i="8"/>
  <c r="T161" i="8"/>
  <c r="Y161" i="8" s="1"/>
  <c r="V161" i="8"/>
  <c r="V35" i="8"/>
  <c r="X148" i="8"/>
  <c r="V98" i="8"/>
  <c r="T75" i="8"/>
  <c r="Y75" i="8" s="1"/>
  <c r="V75" i="8"/>
  <c r="V132" i="8"/>
  <c r="X139" i="8"/>
  <c r="Y139" i="8" s="1"/>
  <c r="V125" i="8"/>
  <c r="Y46" i="8"/>
  <c r="V172" i="8"/>
  <c r="V100" i="8"/>
  <c r="X92" i="8"/>
  <c r="Y136" i="8"/>
  <c r="T71" i="8"/>
  <c r="V71" i="8" s="1"/>
  <c r="Q69" i="8"/>
  <c r="Y100" i="8"/>
  <c r="Q204" i="8"/>
  <c r="Q203" i="8" s="1"/>
  <c r="Y48" i="8"/>
  <c r="T84" i="8"/>
  <c r="V84" i="8" s="1"/>
  <c r="Y186" i="8"/>
  <c r="V143" i="8"/>
  <c r="M170" i="8"/>
  <c r="X74" i="8"/>
  <c r="T74" i="8"/>
  <c r="V74" i="8" s="1"/>
  <c r="V15" i="8"/>
  <c r="T146" i="8"/>
  <c r="Y146" i="8" s="1"/>
  <c r="V146" i="8"/>
  <c r="T158" i="8"/>
  <c r="V158" i="8" s="1"/>
  <c r="X158" i="8"/>
  <c r="X72" i="8"/>
  <c r="Y106" i="8"/>
  <c r="X79" i="8"/>
  <c r="Y79" i="8" s="1"/>
  <c r="Q96" i="8"/>
  <c r="T160" i="8"/>
  <c r="Y160" i="8" s="1"/>
  <c r="T142" i="8"/>
  <c r="X142" i="8"/>
  <c r="V186" i="8"/>
  <c r="S96" i="8"/>
  <c r="Q109" i="8"/>
  <c r="Y72" i="8"/>
  <c r="V72" i="8"/>
  <c r="Y126" i="8"/>
  <c r="Y82" i="8"/>
  <c r="X90" i="8"/>
  <c r="V183" i="8"/>
  <c r="Y27" i="8"/>
  <c r="T138" i="8"/>
  <c r="V54" i="8"/>
  <c r="V64" i="8"/>
  <c r="Y204" i="8"/>
  <c r="Y203" i="8" s="1"/>
  <c r="Y47" i="8"/>
  <c r="V78" i="8"/>
  <c r="X147" i="8"/>
  <c r="T190" i="8"/>
  <c r="V190" i="8" s="1"/>
  <c r="U155" i="8"/>
  <c r="T152" i="8"/>
  <c r="V152" i="8" s="1"/>
  <c r="X78" i="8"/>
  <c r="Y78" i="8"/>
  <c r="X151" i="8"/>
  <c r="T151" i="8"/>
  <c r="Y151" i="8" s="1"/>
  <c r="V79" i="8"/>
  <c r="V63" i="8"/>
  <c r="Y63" i="8"/>
  <c r="V195" i="8"/>
  <c r="T93" i="8"/>
  <c r="V93" i="8" s="1"/>
  <c r="V102" i="8"/>
  <c r="V88" i="8"/>
  <c r="Y94" i="8"/>
  <c r="V94" i="8"/>
  <c r="V129" i="8"/>
  <c r="Y129" i="8"/>
  <c r="T89" i="8"/>
  <c r="V89" i="8" s="1"/>
  <c r="X89" i="8"/>
  <c r="V59" i="8"/>
  <c r="T193" i="8"/>
  <c r="V138" i="8"/>
  <c r="V177" i="8"/>
  <c r="V134" i="8"/>
  <c r="T191" i="8"/>
  <c r="V191" i="8" s="1"/>
  <c r="X191" i="8"/>
  <c r="Y191" i="8" s="1"/>
  <c r="T154" i="8"/>
  <c r="Y154" i="8" s="1"/>
  <c r="V140" i="8"/>
  <c r="Y53" i="8"/>
  <c r="T149" i="8"/>
  <c r="X149" i="8"/>
  <c r="Y90" i="8"/>
  <c r="V130" i="8"/>
  <c r="Y130" i="8"/>
  <c r="S168" i="8"/>
  <c r="T168" i="8" s="1"/>
  <c r="O9" i="3" l="1"/>
  <c r="O8" i="3" s="1"/>
  <c r="O7" i="3" s="1"/>
  <c r="T16" i="3"/>
  <c r="Y28" i="3"/>
  <c r="V28" i="3"/>
  <c r="Y177" i="3"/>
  <c r="V177" i="3"/>
  <c r="S197" i="3"/>
  <c r="U108" i="7"/>
  <c r="S101" i="7"/>
  <c r="I9" i="3"/>
  <c r="I8" i="3" s="1"/>
  <c r="I7" i="3" s="1"/>
  <c r="Y32" i="3"/>
  <c r="V32" i="3"/>
  <c r="Y172" i="3"/>
  <c r="Y17" i="3"/>
  <c r="V17" i="3"/>
  <c r="V114" i="3"/>
  <c r="T114" i="3"/>
  <c r="K9" i="3"/>
  <c r="K8" i="3" s="1"/>
  <c r="K7" i="3" s="1"/>
  <c r="M9" i="3"/>
  <c r="M8" i="3" s="1"/>
  <c r="M7" i="3" s="1"/>
  <c r="Y83" i="3"/>
  <c r="V83" i="3"/>
  <c r="U12" i="7"/>
  <c r="Y23" i="3"/>
  <c r="V23" i="3"/>
  <c r="Y27" i="3"/>
  <c r="V27" i="3"/>
  <c r="Y19" i="3"/>
  <c r="V19" i="3"/>
  <c r="Y26" i="3"/>
  <c r="V26" i="3"/>
  <c r="Y34" i="3"/>
  <c r="V34" i="3"/>
  <c r="Q112" i="3"/>
  <c r="J109" i="7"/>
  <c r="Q110" i="7"/>
  <c r="Q40" i="3"/>
  <c r="Q10" i="3" s="1"/>
  <c r="V121" i="3"/>
  <c r="U67" i="3"/>
  <c r="U10" i="3" s="1"/>
  <c r="S172" i="3"/>
  <c r="S171" i="3" s="1"/>
  <c r="J67" i="3"/>
  <c r="Q138" i="7"/>
  <c r="J137" i="7"/>
  <c r="S179" i="7"/>
  <c r="U183" i="7"/>
  <c r="U179" i="7" s="1"/>
  <c r="T66" i="7"/>
  <c r="T10" i="7" s="1"/>
  <c r="T9" i="7" s="1"/>
  <c r="T8" i="7" s="1"/>
  <c r="T7" i="7" s="1"/>
  <c r="Y76" i="3"/>
  <c r="V76" i="3"/>
  <c r="X80" i="3"/>
  <c r="T80" i="3"/>
  <c r="Y191" i="3"/>
  <c r="V191" i="3"/>
  <c r="S12" i="7"/>
  <c r="S40" i="7"/>
  <c r="S157" i="7"/>
  <c r="Q155" i="7"/>
  <c r="Q190" i="3"/>
  <c r="Q171" i="3" s="1"/>
  <c r="U138" i="3"/>
  <c r="U112" i="3" s="1"/>
  <c r="J138" i="3"/>
  <c r="J112" i="3" s="1"/>
  <c r="V18" i="3"/>
  <c r="S20" i="3"/>
  <c r="T20" i="3" s="1"/>
  <c r="V25" i="3"/>
  <c r="V37" i="3"/>
  <c r="S117" i="3"/>
  <c r="V179" i="3"/>
  <c r="J179" i="7"/>
  <c r="J170" i="7" s="1"/>
  <c r="X72" i="3"/>
  <c r="T72" i="3"/>
  <c r="X89" i="3"/>
  <c r="T89" i="3"/>
  <c r="V94" i="3"/>
  <c r="T148" i="3"/>
  <c r="Y159" i="3"/>
  <c r="V159" i="3"/>
  <c r="X163" i="3"/>
  <c r="T163" i="3"/>
  <c r="U168" i="7"/>
  <c r="U167" i="7" s="1"/>
  <c r="U166" i="7" s="1"/>
  <c r="S167" i="7"/>
  <c r="S166" i="7" s="1"/>
  <c r="K170" i="7"/>
  <c r="J200" i="7"/>
  <c r="Q201" i="7"/>
  <c r="Y84" i="3"/>
  <c r="V84" i="3"/>
  <c r="J66" i="7"/>
  <c r="X81" i="3"/>
  <c r="T81" i="3"/>
  <c r="Y140" i="3"/>
  <c r="V140" i="3"/>
  <c r="J39" i="7"/>
  <c r="J10" i="7" s="1"/>
  <c r="J9" i="7" s="1"/>
  <c r="J8" i="7" s="1"/>
  <c r="J7" i="7" s="1"/>
  <c r="Q42" i="7"/>
  <c r="S42" i="7" s="1"/>
  <c r="U42" i="7" s="1"/>
  <c r="Q66" i="7"/>
  <c r="U101" i="7"/>
  <c r="V170" i="3"/>
  <c r="V168" i="3" s="1"/>
  <c r="V167" i="3" s="1"/>
  <c r="V21" i="3"/>
  <c r="V30" i="3"/>
  <c r="V35" i="3"/>
  <c r="V175" i="3"/>
  <c r="S66" i="7"/>
  <c r="X73" i="3"/>
  <c r="T73" i="3"/>
  <c r="V78" i="3"/>
  <c r="Y149" i="3"/>
  <c r="V149" i="3"/>
  <c r="X153" i="3"/>
  <c r="T153" i="3"/>
  <c r="Y158" i="8"/>
  <c r="U66" i="7"/>
  <c r="Q138" i="3"/>
  <c r="S124" i="7"/>
  <c r="S189" i="7"/>
  <c r="U190" i="7"/>
  <c r="U189" i="7" s="1"/>
  <c r="X69" i="3"/>
  <c r="T69" i="3"/>
  <c r="Y91" i="3"/>
  <c r="V91" i="3"/>
  <c r="Y193" i="3"/>
  <c r="V193" i="3"/>
  <c r="Y141" i="3"/>
  <c r="V141" i="3"/>
  <c r="X145" i="3"/>
  <c r="X138" i="3" s="1"/>
  <c r="T145" i="3"/>
  <c r="I9" i="7"/>
  <c r="I8" i="7" s="1"/>
  <c r="I7" i="7" s="1"/>
  <c r="X88" i="3"/>
  <c r="T88" i="3"/>
  <c r="Y158" i="3"/>
  <c r="V158" i="3"/>
  <c r="T172" i="3"/>
  <c r="Q96" i="3"/>
  <c r="V33" i="3"/>
  <c r="X154" i="3"/>
  <c r="T154" i="3"/>
  <c r="Q112" i="7"/>
  <c r="S127" i="7"/>
  <c r="U127" i="7" s="1"/>
  <c r="U124" i="7" s="1"/>
  <c r="Q124" i="7"/>
  <c r="J40" i="3"/>
  <c r="J10" i="3" s="1"/>
  <c r="Q67" i="3"/>
  <c r="V15" i="3"/>
  <c r="V24" i="3"/>
  <c r="V31" i="3"/>
  <c r="V36" i="3"/>
  <c r="V173" i="3"/>
  <c r="V178" i="3"/>
  <c r="X70" i="3"/>
  <c r="T70" i="3"/>
  <c r="T75" i="3"/>
  <c r="V79" i="3"/>
  <c r="Y92" i="3"/>
  <c r="V92" i="3"/>
  <c r="T203" i="3"/>
  <c r="X146" i="3"/>
  <c r="T146" i="3"/>
  <c r="V151" i="3"/>
  <c r="Q12" i="7"/>
  <c r="J101" i="7"/>
  <c r="Y107" i="3"/>
  <c r="Y102" i="3" s="1"/>
  <c r="V107" i="3"/>
  <c r="V102" i="3" s="1"/>
  <c r="V133" i="3"/>
  <c r="Y133" i="3"/>
  <c r="V196" i="3"/>
  <c r="V194" i="3" s="1"/>
  <c r="Y196" i="3"/>
  <c r="Y194" i="3" s="1"/>
  <c r="X162" i="3"/>
  <c r="Y162" i="3" s="1"/>
  <c r="T68" i="3"/>
  <c r="V71" i="3"/>
  <c r="V74" i="3"/>
  <c r="V82" i="3"/>
  <c r="T87" i="3"/>
  <c r="V90" i="3"/>
  <c r="T95" i="3"/>
  <c r="V202" i="3"/>
  <c r="V139" i="3"/>
  <c r="T144" i="3"/>
  <c r="V147" i="3"/>
  <c r="T152" i="3"/>
  <c r="V155" i="3"/>
  <c r="V157" i="3"/>
  <c r="Q179" i="7"/>
  <c r="Y43" i="3"/>
  <c r="V43" i="3"/>
  <c r="Y62" i="3"/>
  <c r="X40" i="3"/>
  <c r="T77" i="3"/>
  <c r="T85" i="3"/>
  <c r="T93" i="3"/>
  <c r="X201" i="3"/>
  <c r="X171" i="3" s="1"/>
  <c r="T142" i="3"/>
  <c r="T138" i="3" s="1"/>
  <c r="T150" i="3"/>
  <c r="X156" i="3"/>
  <c r="T160" i="3"/>
  <c r="Q101" i="7"/>
  <c r="T111" i="7"/>
  <c r="J155" i="7"/>
  <c r="Y63" i="3"/>
  <c r="V63" i="3"/>
  <c r="Q96" i="7"/>
  <c r="J95" i="7"/>
  <c r="T137" i="7"/>
  <c r="Y54" i="3"/>
  <c r="V129" i="3"/>
  <c r="Y129" i="3"/>
  <c r="V187" i="3"/>
  <c r="Y187" i="3"/>
  <c r="V111" i="3"/>
  <c r="V110" i="3" s="1"/>
  <c r="Y111" i="3"/>
  <c r="Y110" i="3" s="1"/>
  <c r="V183" i="3"/>
  <c r="V180" i="3" s="1"/>
  <c r="Y183" i="3"/>
  <c r="X113" i="3"/>
  <c r="J124" i="7"/>
  <c r="J111" i="7" s="1"/>
  <c r="M170" i="7"/>
  <c r="Y46" i="3"/>
  <c r="Y40" i="3" s="1"/>
  <c r="V51" i="3"/>
  <c r="Y136" i="3"/>
  <c r="N170" i="7"/>
  <c r="V137" i="3"/>
  <c r="Y137" i="3"/>
  <c r="X12" i="3"/>
  <c r="V96" i="8"/>
  <c r="V95" i="8" s="1"/>
  <c r="Y122" i="8"/>
  <c r="Y181" i="3"/>
  <c r="Y185" i="3"/>
  <c r="Y189" i="3"/>
  <c r="Y199" i="3"/>
  <c r="Y197" i="3" s="1"/>
  <c r="Y40" i="8"/>
  <c r="Y115" i="8"/>
  <c r="X179" i="8"/>
  <c r="J167" i="8"/>
  <c r="J166" i="8" s="1"/>
  <c r="V196" i="8"/>
  <c r="Y15" i="8"/>
  <c r="Y41" i="8"/>
  <c r="Y57" i="8"/>
  <c r="Y133" i="8"/>
  <c r="Y182" i="8"/>
  <c r="Y195" i="8"/>
  <c r="V127" i="3"/>
  <c r="V131" i="3"/>
  <c r="V135" i="3"/>
  <c r="I170" i="8"/>
  <c r="V41" i="3"/>
  <c r="V45" i="3"/>
  <c r="V49" i="3"/>
  <c r="V53" i="3"/>
  <c r="V57" i="3"/>
  <c r="V61" i="3"/>
  <c r="V65" i="3"/>
  <c r="V99" i="3"/>
  <c r="V96" i="3" s="1"/>
  <c r="M10" i="8"/>
  <c r="N10" i="8"/>
  <c r="N9" i="8" s="1"/>
  <c r="N8" i="8" s="1"/>
  <c r="N7" i="8" s="1"/>
  <c r="Y38" i="8"/>
  <c r="Y37" i="8" s="1"/>
  <c r="Y45" i="8"/>
  <c r="Y93" i="8"/>
  <c r="T120" i="8"/>
  <c r="Y120" i="8" s="1"/>
  <c r="V120" i="8"/>
  <c r="T119" i="8"/>
  <c r="Y119" i="8" s="1"/>
  <c r="V119" i="8"/>
  <c r="Y21" i="8"/>
  <c r="V21" i="8"/>
  <c r="V42" i="8"/>
  <c r="Y65" i="8"/>
  <c r="X87" i="8"/>
  <c r="R170" i="8"/>
  <c r="R9" i="8" s="1"/>
  <c r="R8" i="8" s="1"/>
  <c r="R7" i="8" s="1"/>
  <c r="K170" i="8"/>
  <c r="S189" i="8"/>
  <c r="Q171" i="8"/>
  <c r="L111" i="8"/>
  <c r="Y147" i="8"/>
  <c r="T162" i="8"/>
  <c r="N111" i="8"/>
  <c r="Y138" i="8"/>
  <c r="X145" i="8"/>
  <c r="Y145" i="8" s="1"/>
  <c r="X150" i="8"/>
  <c r="Y150" i="8" s="1"/>
  <c r="R111" i="8"/>
  <c r="Y152" i="8"/>
  <c r="W10" i="8"/>
  <c r="X11" i="8"/>
  <c r="X39" i="8"/>
  <c r="Y59" i="8"/>
  <c r="X95" i="8"/>
  <c r="X101" i="8"/>
  <c r="X124" i="8"/>
  <c r="Y184" i="8"/>
  <c r="V189" i="8"/>
  <c r="Y142" i="8"/>
  <c r="V122" i="8"/>
  <c r="X192" i="8"/>
  <c r="Y192" i="8" s="1"/>
  <c r="J101" i="8"/>
  <c r="Y172" i="8"/>
  <c r="N170" i="8"/>
  <c r="T179" i="8"/>
  <c r="Y35" i="8"/>
  <c r="Y44" i="8"/>
  <c r="Y149" i="8"/>
  <c r="T124" i="8"/>
  <c r="Y89" i="8"/>
  <c r="T86" i="8"/>
  <c r="V86" i="8" s="1"/>
  <c r="X77" i="8"/>
  <c r="Y77" i="8" s="1"/>
  <c r="U189" i="8"/>
  <c r="U170" i="8" s="1"/>
  <c r="J66" i="8"/>
  <c r="I111" i="8"/>
  <c r="Y81" i="8"/>
  <c r="Y140" i="8"/>
  <c r="I10" i="8"/>
  <c r="I9" i="8" s="1"/>
  <c r="I8" i="8" s="1"/>
  <c r="I7" i="8" s="1"/>
  <c r="M111" i="8"/>
  <c r="V81" i="8"/>
  <c r="V151" i="8"/>
  <c r="J95" i="8"/>
  <c r="Y181" i="8"/>
  <c r="V104" i="8"/>
  <c r="V101" i="8" s="1"/>
  <c r="Y105" i="8"/>
  <c r="Y132" i="8"/>
  <c r="J200" i="8"/>
  <c r="V20" i="8"/>
  <c r="Y20" i="8"/>
  <c r="T117" i="8"/>
  <c r="Y117" i="8" s="1"/>
  <c r="V117" i="8"/>
  <c r="Y29" i="8"/>
  <c r="V29" i="8"/>
  <c r="V92" i="8"/>
  <c r="Y92" i="8"/>
  <c r="S180" i="8"/>
  <c r="S179" i="8" s="1"/>
  <c r="Q179" i="8"/>
  <c r="V30" i="8"/>
  <c r="Y30" i="8"/>
  <c r="T171" i="8"/>
  <c r="Y173" i="8"/>
  <c r="V23" i="8"/>
  <c r="Y23" i="8"/>
  <c r="V153" i="8"/>
  <c r="T121" i="8"/>
  <c r="Y121" i="8" s="1"/>
  <c r="V121" i="8"/>
  <c r="V141" i="8"/>
  <c r="T174" i="8"/>
  <c r="S171" i="8"/>
  <c r="S155" i="8"/>
  <c r="V17" i="8"/>
  <c r="Y17" i="8"/>
  <c r="V33" i="8"/>
  <c r="Y33" i="8"/>
  <c r="S200" i="8"/>
  <c r="V67" i="8"/>
  <c r="V175" i="8"/>
  <c r="Y175" i="8"/>
  <c r="Y13" i="8"/>
  <c r="V13" i="8"/>
  <c r="Y69" i="8"/>
  <c r="V69" i="8"/>
  <c r="V73" i="8"/>
  <c r="M9" i="8"/>
  <c r="M8" i="8" s="1"/>
  <c r="M7" i="8" s="1"/>
  <c r="T116" i="8"/>
  <c r="Y116" i="8" s="1"/>
  <c r="V116" i="8"/>
  <c r="Q193" i="8"/>
  <c r="S194" i="8"/>
  <c r="S193" i="8" s="1"/>
  <c r="U66" i="8"/>
  <c r="U10" i="8" s="1"/>
  <c r="V150" i="8"/>
  <c r="V149" i="8"/>
  <c r="V62" i="8"/>
  <c r="Y131" i="8"/>
  <c r="X202" i="8"/>
  <c r="S39" i="8"/>
  <c r="V77" i="8"/>
  <c r="T189" i="8"/>
  <c r="J179" i="8"/>
  <c r="Q200" i="8"/>
  <c r="V118" i="8"/>
  <c r="V51" i="8"/>
  <c r="Y178" i="8"/>
  <c r="J155" i="8"/>
  <c r="V160" i="8"/>
  <c r="V176" i="8"/>
  <c r="S137" i="8"/>
  <c r="V180" i="8"/>
  <c r="V179" i="8" s="1"/>
  <c r="S204" i="8"/>
  <c r="S203" i="8" s="1"/>
  <c r="Y49" i="8"/>
  <c r="V115" i="8"/>
  <c r="T144" i="8"/>
  <c r="Y52" i="8"/>
  <c r="T91" i="8"/>
  <c r="V128" i="8"/>
  <c r="Y135" i="8"/>
  <c r="X153" i="8"/>
  <c r="Y153" i="8" s="1"/>
  <c r="V165" i="8"/>
  <c r="Q169" i="8"/>
  <c r="J193" i="8"/>
  <c r="V204" i="8"/>
  <c r="V203" i="8" s="1"/>
  <c r="S11" i="8"/>
  <c r="Y196" i="8"/>
  <c r="Y43" i="8"/>
  <c r="W170" i="8"/>
  <c r="V154" i="8"/>
  <c r="Y201" i="8"/>
  <c r="Y71" i="8"/>
  <c r="V142" i="8"/>
  <c r="Y18" i="8"/>
  <c r="Y128" i="8"/>
  <c r="Y97" i="8"/>
  <c r="Y95" i="8" s="1"/>
  <c r="Y187" i="8"/>
  <c r="Y179" i="8" s="1"/>
  <c r="Y50" i="8"/>
  <c r="O111" i="8"/>
  <c r="Y127" i="8"/>
  <c r="S196" i="8"/>
  <c r="X196" i="8"/>
  <c r="Y58" i="8"/>
  <c r="X67" i="8"/>
  <c r="Y67" i="8" s="1"/>
  <c r="X73" i="8"/>
  <c r="Y73" i="8" s="1"/>
  <c r="Q39" i="8"/>
  <c r="T200" i="8"/>
  <c r="Q66" i="8"/>
  <c r="J189" i="8"/>
  <c r="Q102" i="8"/>
  <c r="S102" i="8" s="1"/>
  <c r="K10" i="8"/>
  <c r="L170" i="8"/>
  <c r="S124" i="8"/>
  <c r="V193" i="8"/>
  <c r="U137" i="8"/>
  <c r="U111" i="8" s="1"/>
  <c r="V113" i="8"/>
  <c r="J124" i="8"/>
  <c r="Q112" i="8"/>
  <c r="Q155" i="8"/>
  <c r="X141" i="8"/>
  <c r="X137" i="8" s="1"/>
  <c r="X111" i="8" s="1"/>
  <c r="V38" i="8"/>
  <c r="V37" i="8" s="1"/>
  <c r="Y16" i="8"/>
  <c r="T101" i="8"/>
  <c r="Y56" i="8"/>
  <c r="X80" i="8"/>
  <c r="Y80" i="8" s="1"/>
  <c r="T83" i="8"/>
  <c r="Y76" i="8"/>
  <c r="U200" i="8"/>
  <c r="Y156" i="8"/>
  <c r="L10" i="8"/>
  <c r="L9" i="8" s="1"/>
  <c r="L8" i="8" s="1"/>
  <c r="L7" i="8" s="1"/>
  <c r="S95" i="8"/>
  <c r="X112" i="8"/>
  <c r="O170" i="8"/>
  <c r="Y34" i="8"/>
  <c r="Q37" i="8"/>
  <c r="T37" i="8"/>
  <c r="Y84" i="8"/>
  <c r="V145" i="8"/>
  <c r="Y194" i="8"/>
  <c r="T159" i="8"/>
  <c r="T155" i="8" s="1"/>
  <c r="Y87" i="8"/>
  <c r="Y107" i="8"/>
  <c r="Y26" i="8"/>
  <c r="J137" i="8"/>
  <c r="V34" i="8"/>
  <c r="J196" i="8"/>
  <c r="X70" i="8"/>
  <c r="Y70" i="8" s="1"/>
  <c r="T95" i="8"/>
  <c r="K111" i="8"/>
  <c r="V135" i="8"/>
  <c r="W111" i="8"/>
  <c r="X193" i="8"/>
  <c r="V168" i="8"/>
  <c r="Y168" i="8"/>
  <c r="Y19" i="8"/>
  <c r="V19" i="8"/>
  <c r="Y36" i="8"/>
  <c r="V36" i="8"/>
  <c r="V31" i="8"/>
  <c r="Y31" i="8"/>
  <c r="Y24" i="8"/>
  <c r="V24" i="8"/>
  <c r="T39" i="8"/>
  <c r="Y28" i="8"/>
  <c r="Q137" i="8"/>
  <c r="Q95" i="8"/>
  <c r="J39" i="8"/>
  <c r="T123" i="8"/>
  <c r="Y123" i="8" s="1"/>
  <c r="S69" i="8"/>
  <c r="S66" i="8" s="1"/>
  <c r="V61" i="8"/>
  <c r="Y61" i="8"/>
  <c r="Y55" i="8"/>
  <c r="X155" i="8"/>
  <c r="T114" i="8"/>
  <c r="Y25" i="8"/>
  <c r="S104" i="8"/>
  <c r="Q124" i="8"/>
  <c r="Y190" i="8"/>
  <c r="Y32" i="8"/>
  <c r="Q11" i="8"/>
  <c r="V173" i="8"/>
  <c r="O10" i="8"/>
  <c r="T14" i="8"/>
  <c r="Q196" i="8"/>
  <c r="V22" i="8"/>
  <c r="Y68" i="8"/>
  <c r="S112" i="8"/>
  <c r="Y148" i="8"/>
  <c r="J109" i="8"/>
  <c r="Y74" i="8"/>
  <c r="Y60" i="8"/>
  <c r="V157" i="8"/>
  <c r="Y157" i="8"/>
  <c r="X88" i="8"/>
  <c r="Y88" i="8" s="1"/>
  <c r="Y108" i="8"/>
  <c r="Y101" i="8" s="1"/>
  <c r="Q189" i="8"/>
  <c r="J9" i="3" l="1"/>
  <c r="J8" i="3" s="1"/>
  <c r="J7" i="3" s="1"/>
  <c r="Q9" i="3"/>
  <c r="Q8" i="3" s="1"/>
  <c r="Q7" i="3" s="1"/>
  <c r="V12" i="3"/>
  <c r="X67" i="3"/>
  <c r="X10" i="3" s="1"/>
  <c r="X9" i="3" s="1"/>
  <c r="X8" i="3" s="1"/>
  <c r="X7" i="3" s="1"/>
  <c r="V190" i="3"/>
  <c r="S110" i="7"/>
  <c r="Q109" i="7"/>
  <c r="V113" i="3"/>
  <c r="Q170" i="8"/>
  <c r="W9" i="8"/>
  <c r="W8" i="8" s="1"/>
  <c r="W7" i="8" s="1"/>
  <c r="Y180" i="3"/>
  <c r="Y77" i="3"/>
  <c r="V77" i="3"/>
  <c r="Y152" i="3"/>
  <c r="V152" i="3"/>
  <c r="Q200" i="7"/>
  <c r="Q170" i="7" s="1"/>
  <c r="S201" i="7"/>
  <c r="Y190" i="3"/>
  <c r="Y85" i="3"/>
  <c r="V85" i="3"/>
  <c r="Y87" i="3"/>
  <c r="V87" i="3"/>
  <c r="Y146" i="3"/>
  <c r="V146" i="3"/>
  <c r="V124" i="8"/>
  <c r="V125" i="3"/>
  <c r="Y160" i="3"/>
  <c r="Y156" i="3" s="1"/>
  <c r="V160" i="3"/>
  <c r="Y203" i="3"/>
  <c r="Y201" i="3" s="1"/>
  <c r="V203" i="3"/>
  <c r="T201" i="3"/>
  <c r="T171" i="3" s="1"/>
  <c r="V172" i="3"/>
  <c r="Y148" i="3"/>
  <c r="V148" i="3"/>
  <c r="V117" i="3"/>
  <c r="T117" i="3"/>
  <c r="Y117" i="3" s="1"/>
  <c r="Y80" i="3"/>
  <c r="V80" i="3"/>
  <c r="S138" i="7"/>
  <c r="Q137" i="7"/>
  <c r="Q111" i="7" s="1"/>
  <c r="S12" i="3"/>
  <c r="S10" i="3" s="1"/>
  <c r="Y16" i="3"/>
  <c r="V16" i="3"/>
  <c r="T12" i="3"/>
  <c r="Y189" i="8"/>
  <c r="Q95" i="7"/>
  <c r="S96" i="7"/>
  <c r="Y150" i="3"/>
  <c r="V150" i="3"/>
  <c r="Y68" i="3"/>
  <c r="V68" i="3"/>
  <c r="T67" i="3"/>
  <c r="Y88" i="3"/>
  <c r="V88" i="3"/>
  <c r="Y73" i="3"/>
  <c r="V73" i="3"/>
  <c r="Y89" i="3"/>
  <c r="V89" i="3"/>
  <c r="Q39" i="7"/>
  <c r="Q10" i="7" s="1"/>
  <c r="Q9" i="7" s="1"/>
  <c r="Q8" i="7" s="1"/>
  <c r="Q7" i="7" s="1"/>
  <c r="Y171" i="3"/>
  <c r="Y144" i="3"/>
  <c r="V144" i="3"/>
  <c r="Y81" i="3"/>
  <c r="V81" i="3"/>
  <c r="U9" i="8"/>
  <c r="U8" i="8" s="1"/>
  <c r="U7" i="8" s="1"/>
  <c r="X189" i="8"/>
  <c r="Y142" i="3"/>
  <c r="Y138" i="3" s="1"/>
  <c r="V142" i="3"/>
  <c r="V138" i="3" s="1"/>
  <c r="V201" i="3"/>
  <c r="Y154" i="3"/>
  <c r="V154" i="3"/>
  <c r="Y20" i="3"/>
  <c r="V20" i="3"/>
  <c r="U40" i="7"/>
  <c r="U39" i="7" s="1"/>
  <c r="S39" i="7"/>
  <c r="U9" i="3"/>
  <c r="U8" i="3" s="1"/>
  <c r="U7" i="3" s="1"/>
  <c r="S155" i="7"/>
  <c r="U157" i="7"/>
  <c r="U155" i="7" s="1"/>
  <c r="V40" i="3"/>
  <c r="X112" i="3"/>
  <c r="Y95" i="3"/>
  <c r="V95" i="3"/>
  <c r="Y75" i="3"/>
  <c r="V75" i="3"/>
  <c r="Y163" i="3"/>
  <c r="V163" i="3"/>
  <c r="Y72" i="3"/>
  <c r="V72" i="3"/>
  <c r="Y114" i="3"/>
  <c r="Y113" i="3" s="1"/>
  <c r="T113" i="3"/>
  <c r="J111" i="8"/>
  <c r="Y193" i="8"/>
  <c r="Y125" i="3"/>
  <c r="Y93" i="3"/>
  <c r="V93" i="3"/>
  <c r="V156" i="3"/>
  <c r="Y70" i="3"/>
  <c r="V70" i="3"/>
  <c r="Y145" i="3"/>
  <c r="V145" i="3"/>
  <c r="Y69" i="3"/>
  <c r="V69" i="3"/>
  <c r="Y153" i="3"/>
  <c r="V153" i="3"/>
  <c r="S113" i="3"/>
  <c r="S112" i="3" s="1"/>
  <c r="T156" i="3"/>
  <c r="Y86" i="8"/>
  <c r="T170" i="8"/>
  <c r="Y141" i="8"/>
  <c r="S170" i="8"/>
  <c r="V159" i="8"/>
  <c r="T66" i="8"/>
  <c r="V162" i="8"/>
  <c r="V155" i="8" s="1"/>
  <c r="Y162" i="8"/>
  <c r="Y159" i="8"/>
  <c r="Y124" i="8"/>
  <c r="Y39" i="8"/>
  <c r="V39" i="8"/>
  <c r="S101" i="8"/>
  <c r="V91" i="8"/>
  <c r="Y91" i="8"/>
  <c r="X200" i="8"/>
  <c r="X170" i="8" s="1"/>
  <c r="Y202" i="8"/>
  <c r="Y200" i="8" s="1"/>
  <c r="Y171" i="8"/>
  <c r="V112" i="8"/>
  <c r="J170" i="8"/>
  <c r="Q101" i="8"/>
  <c r="Q10" i="8" s="1"/>
  <c r="S111" i="8"/>
  <c r="O9" i="8"/>
  <c r="O8" i="8" s="1"/>
  <c r="O7" i="8" s="1"/>
  <c r="Y155" i="8"/>
  <c r="J10" i="8"/>
  <c r="V144" i="8"/>
  <c r="V137" i="8" s="1"/>
  <c r="Y144" i="8"/>
  <c r="Y137" i="8" s="1"/>
  <c r="V174" i="8"/>
  <c r="V171" i="8" s="1"/>
  <c r="V170" i="8" s="1"/>
  <c r="Y174" i="8"/>
  <c r="Y83" i="8"/>
  <c r="Y66" i="8" s="1"/>
  <c r="V83" i="8"/>
  <c r="V66" i="8" s="1"/>
  <c r="K9" i="8"/>
  <c r="K8" i="8" s="1"/>
  <c r="K7" i="8" s="1"/>
  <c r="S169" i="8"/>
  <c r="Q167" i="8"/>
  <c r="Q166" i="8" s="1"/>
  <c r="T137" i="8"/>
  <c r="S10" i="8"/>
  <c r="Y114" i="8"/>
  <c r="Y112" i="8" s="1"/>
  <c r="T112" i="8"/>
  <c r="Q111" i="8"/>
  <c r="Y14" i="8"/>
  <c r="Y11" i="8" s="1"/>
  <c r="V14" i="8"/>
  <c r="V11" i="8" s="1"/>
  <c r="T11" i="8"/>
  <c r="T10" i="8" s="1"/>
  <c r="X66" i="8"/>
  <c r="X10" i="8" s="1"/>
  <c r="X9" i="8" s="1"/>
  <c r="X8" i="8" s="1"/>
  <c r="X7" i="8" s="1"/>
  <c r="Y12" i="3" l="1"/>
  <c r="Y10" i="3" s="1"/>
  <c r="Y9" i="3" s="1"/>
  <c r="Y8" i="3" s="1"/>
  <c r="Y7" i="3" s="1"/>
  <c r="S9" i="3"/>
  <c r="S8" i="3" s="1"/>
  <c r="S7" i="3" s="1"/>
  <c r="T112" i="3"/>
  <c r="U96" i="7"/>
  <c r="U95" i="7" s="1"/>
  <c r="U10" i="7" s="1"/>
  <c r="S95" i="7"/>
  <c r="S10" i="7" s="1"/>
  <c r="S9" i="7" s="1"/>
  <c r="S8" i="7" s="1"/>
  <c r="S7" i="7" s="1"/>
  <c r="U201" i="7"/>
  <c r="U200" i="7" s="1"/>
  <c r="U170" i="7" s="1"/>
  <c r="S200" i="7"/>
  <c r="S170" i="7" s="1"/>
  <c r="Q9" i="8"/>
  <c r="Q8" i="8" s="1"/>
  <c r="Q7" i="8" s="1"/>
  <c r="Y112" i="3"/>
  <c r="U138" i="7"/>
  <c r="U137" i="7" s="1"/>
  <c r="U111" i="7" s="1"/>
  <c r="S137" i="7"/>
  <c r="S111" i="7" s="1"/>
  <c r="V171" i="3"/>
  <c r="V112" i="3"/>
  <c r="V67" i="3"/>
  <c r="V10" i="3" s="1"/>
  <c r="V9" i="3" s="1"/>
  <c r="V8" i="3" s="1"/>
  <c r="V7" i="3" s="1"/>
  <c r="Y67" i="3"/>
  <c r="T10" i="3"/>
  <c r="T9" i="3" s="1"/>
  <c r="T8" i="3" s="1"/>
  <c r="T7" i="3" s="1"/>
  <c r="C18" i="5"/>
  <c r="C19" i="5" s="1"/>
  <c r="C21" i="5" s="1"/>
  <c r="U110" i="7"/>
  <c r="U109" i="7" s="1"/>
  <c r="S109" i="7"/>
  <c r="J9" i="8"/>
  <c r="J8" i="8" s="1"/>
  <c r="J7" i="8" s="1"/>
  <c r="Y170" i="8"/>
  <c r="Y111" i="8"/>
  <c r="Y10" i="8"/>
  <c r="V111" i="8"/>
  <c r="T169" i="8"/>
  <c r="S167" i="8"/>
  <c r="S166" i="8" s="1"/>
  <c r="S9" i="8" s="1"/>
  <c r="S8" i="8" s="1"/>
  <c r="S7" i="8" s="1"/>
  <c r="V10" i="8"/>
  <c r="T111" i="8"/>
  <c r="U9" i="7" l="1"/>
  <c r="U8" i="7" s="1"/>
  <c r="U7" i="7" s="1"/>
  <c r="V169" i="8"/>
  <c r="V167" i="8" s="1"/>
  <c r="V166" i="8" s="1"/>
  <c r="V9" i="8" s="1"/>
  <c r="V8" i="8" s="1"/>
  <c r="V7" i="8" s="1"/>
  <c r="Y169" i="8"/>
  <c r="Y167" i="8" s="1"/>
  <c r="Y166" i="8" s="1"/>
  <c r="Y9" i="8" s="1"/>
  <c r="Y8" i="8" s="1"/>
  <c r="Y7" i="8" s="1"/>
  <c r="T167" i="8"/>
  <c r="T166" i="8" s="1"/>
  <c r="T9" i="8" s="1"/>
  <c r="T8" i="8" s="1"/>
  <c r="T7" i="8" s="1"/>
</calcChain>
</file>

<file path=xl/sharedStrings.xml><?xml version="1.0" encoding="utf-8"?>
<sst xmlns="http://schemas.openxmlformats.org/spreadsheetml/2006/main" count="8429" uniqueCount="598">
  <si>
    <t>KNJIŽNICE GRADA ZAGREBA</t>
  </si>
  <si>
    <t>STARČEVIĆEV TRG 6</t>
  </si>
  <si>
    <t>OIB: 93571946376</t>
  </si>
  <si>
    <t>KONTO</t>
  </si>
  <si>
    <t>POZICIJA</t>
  </si>
  <si>
    <t>VRSTA RASHODA / IZDATAKA</t>
  </si>
  <si>
    <t>PLANIRANO (1)</t>
  </si>
  <si>
    <t>OSTVARENO(2)</t>
  </si>
  <si>
    <t>RAZLIKA (1-2)</t>
  </si>
  <si>
    <t>PLAĆENO (3)</t>
  </si>
  <si>
    <t>SALDO (2-3)</t>
  </si>
  <si>
    <t>REZERVIRANO(4)</t>
  </si>
  <si>
    <t>RASPOLOŽIVO (1-2-4)</t>
  </si>
  <si>
    <t>INDEKS(1/2)</t>
  </si>
  <si>
    <t>4231</t>
  </si>
  <si>
    <t>R9026350</t>
  </si>
  <si>
    <t>Prijevozna sredstva u cestovnom prometu</t>
  </si>
  <si>
    <t>4241</t>
  </si>
  <si>
    <t>R0205793</t>
  </si>
  <si>
    <t>Knjige</t>
  </si>
  <si>
    <t>4262</t>
  </si>
  <si>
    <t>R0205794</t>
  </si>
  <si>
    <t>Ulaganja u računalne programe</t>
  </si>
  <si>
    <t>4511</t>
  </si>
  <si>
    <t>R9014748</t>
  </si>
  <si>
    <t>Dodatna ulaganja na građevinskim objektima</t>
  </si>
  <si>
    <t>Izvor  5.2.1 POMOĆI IZ DRUGIH PRORAČUNA-PK</t>
  </si>
  <si>
    <t>4221</t>
  </si>
  <si>
    <t>R0206421</t>
  </si>
  <si>
    <t>Uredska oprema i namještaj</t>
  </si>
  <si>
    <t>4223</t>
  </si>
  <si>
    <t>R9021673</t>
  </si>
  <si>
    <t>Oprema za održavanje i zaštitu</t>
  </si>
  <si>
    <t>R0206422</t>
  </si>
  <si>
    <t>Izvor  5.4.1 POMOĆI OD MEĐUNARODNIH ORGANIZACIJA-PK</t>
  </si>
  <si>
    <t>R0206457</t>
  </si>
  <si>
    <t>R0206458</t>
  </si>
  <si>
    <t>Izvor  5.7.1 FOND SOLIDARNOSTI EUROPSKE UNIJE-PK</t>
  </si>
  <si>
    <t>3232</t>
  </si>
  <si>
    <t>R9004393</t>
  </si>
  <si>
    <t>Usluge tekućeg i investicijskog  održavanja</t>
  </si>
  <si>
    <t>3237</t>
  </si>
  <si>
    <t>R9004394</t>
  </si>
  <si>
    <t>Intelektualne i osobne usluge</t>
  </si>
  <si>
    <t>R9010983</t>
  </si>
  <si>
    <t>Izvor  6.1.1 DONACIJE-PRORAČUNSKI KORISNICI</t>
  </si>
  <si>
    <t>R9025341</t>
  </si>
  <si>
    <t>R9017802</t>
  </si>
  <si>
    <t>Izvor  7.1.1 PRIHODI OD PRODAJE ILI ZAMJ. NEF. IMOVINE I NAKN. S NASL.-PK</t>
  </si>
  <si>
    <t>R0205773</t>
  </si>
  <si>
    <t>Razdjel 024 GRADSKI URED ZA KULTURU I CIVILNO DRUŠTVO</t>
  </si>
  <si>
    <t>Glava 02402 USTANOVE U KULTURI</t>
  </si>
  <si>
    <t>Proračunski korisnik 24738 KNJIŽNICE GRADA ZAGREBA</t>
  </si>
  <si>
    <t>Glavni program A02 PRORAČUNSKI KORISNICI</t>
  </si>
  <si>
    <t>Program 2124 JAVNA UPRAVA I ADMINISTRACIJA</t>
  </si>
  <si>
    <t>Aktivnost A212401 REDOVNA DJELATNOST PRORAČUNSKIH KORISNIKA</t>
  </si>
  <si>
    <t>Izvor  1.1.2 OPĆI PRIHODI I PRIMICI - PK U SUSTAVU RIZNICE</t>
  </si>
  <si>
    <t>3111</t>
  </si>
  <si>
    <t>R0195777</t>
  </si>
  <si>
    <t>Plaće za redovan rad</t>
  </si>
  <si>
    <t>3121</t>
  </si>
  <si>
    <t>R0195780</t>
  </si>
  <si>
    <t>Ostali rashodi za zaposlene</t>
  </si>
  <si>
    <t>3132</t>
  </si>
  <si>
    <t>R0195782</t>
  </si>
  <si>
    <t>Doprinosi za obvezno zdravstveno osiguranje</t>
  </si>
  <si>
    <t>3212</t>
  </si>
  <si>
    <t>R0195785</t>
  </si>
  <si>
    <t>Naknade za prijevoz, za rad na terenu i odvojeni život</t>
  </si>
  <si>
    <t>3213</t>
  </si>
  <si>
    <t>R0195787</t>
  </si>
  <si>
    <t>Stručno usavršavanje zaposlenika</t>
  </si>
  <si>
    <t>3221</t>
  </si>
  <si>
    <t>R0195790</t>
  </si>
  <si>
    <t>Uredski materijal i ostali materijalni rashodi</t>
  </si>
  <si>
    <t>3222</t>
  </si>
  <si>
    <t>R0195792</t>
  </si>
  <si>
    <t>Materijal i sirovine</t>
  </si>
  <si>
    <t>3223</t>
  </si>
  <si>
    <t>R0195794</t>
  </si>
  <si>
    <t>Energija</t>
  </si>
  <si>
    <t>3224</t>
  </si>
  <si>
    <t>R0195796</t>
  </si>
  <si>
    <t>Materijal i dijelovi za tekuće i investicijsko održavanje</t>
  </si>
  <si>
    <t>3225</t>
  </si>
  <si>
    <t>R0195798</t>
  </si>
  <si>
    <t>Sitni inventar i autogume</t>
  </si>
  <si>
    <t>3231</t>
  </si>
  <si>
    <t>R0195801</t>
  </si>
  <si>
    <t>Usluge telefona, interneta, pošte i prijevoza</t>
  </si>
  <si>
    <t>R0195803</t>
  </si>
  <si>
    <t>3233</t>
  </si>
  <si>
    <t>R9023951</t>
  </si>
  <si>
    <t>Usluge promidžbe i informiranja</t>
  </si>
  <si>
    <t>3234</t>
  </si>
  <si>
    <t>R0195806</t>
  </si>
  <si>
    <t>Komunalne usluge</t>
  </si>
  <si>
    <t>3235</t>
  </si>
  <si>
    <t>R0195808</t>
  </si>
  <si>
    <t>Zakupnine i najamnine</t>
  </si>
  <si>
    <t>3236</t>
  </si>
  <si>
    <t>R9014549</t>
  </si>
  <si>
    <t>Zdravstvene i veterinarske usluge</t>
  </si>
  <si>
    <t>R0195811</t>
  </si>
  <si>
    <t>3238</t>
  </si>
  <si>
    <t>R0195813</t>
  </si>
  <si>
    <t>Računalne usluge</t>
  </si>
  <si>
    <t>3291</t>
  </si>
  <si>
    <t>R0195819</t>
  </si>
  <si>
    <t>Naknade za rad predstavničkih i izvršnih tijela, povjerenstava i slično</t>
  </si>
  <si>
    <t>3292</t>
  </si>
  <si>
    <t>R0195821</t>
  </si>
  <si>
    <t>Premije osiguranja</t>
  </si>
  <si>
    <t>3294</t>
  </si>
  <si>
    <t>R0195824</t>
  </si>
  <si>
    <t>Članarine i norme</t>
  </si>
  <si>
    <t>3295</t>
  </si>
  <si>
    <t>R0195826</t>
  </si>
  <si>
    <t>Pristojbe i naknade</t>
  </si>
  <si>
    <t>3431</t>
  </si>
  <si>
    <t>R0195832</t>
  </si>
  <si>
    <t>Bankarske usluge i usluge platnog prometa</t>
  </si>
  <si>
    <t>3694</t>
  </si>
  <si>
    <t>R9015760</t>
  </si>
  <si>
    <t>Kapitalni prijenosi između proračunskih korisnika istog proračuna temeljem prijenosa EU sredstava</t>
  </si>
  <si>
    <t>Izvor  3.1.1 VLASTITI PRIHODI-PRORAČUNSKI KORISNICI</t>
  </si>
  <si>
    <t>3239</t>
  </si>
  <si>
    <t>R0195816</t>
  </si>
  <si>
    <t>Ostale usluge</t>
  </si>
  <si>
    <t>Izvor  4.3.1 PRIHODI ZA POSEBNE NAMJENE-PRORAČUNSKI KORISNICI</t>
  </si>
  <si>
    <t>3211</t>
  </si>
  <si>
    <t>R0206406</t>
  </si>
  <si>
    <t>Službena putovanja</t>
  </si>
  <si>
    <t>R0202455</t>
  </si>
  <si>
    <t>R0202463</t>
  </si>
  <si>
    <t>R0202453</t>
  </si>
  <si>
    <t>R0202462</t>
  </si>
  <si>
    <t>R0202442</t>
  </si>
  <si>
    <t>3227</t>
  </si>
  <si>
    <t>R0206407</t>
  </si>
  <si>
    <t>Službena, radna i zaštitna odjeća i obuća</t>
  </si>
  <si>
    <t>R0202456</t>
  </si>
  <si>
    <t>R0202461</t>
  </si>
  <si>
    <t>R0206413</t>
  </si>
  <si>
    <t>R0202458</t>
  </si>
  <si>
    <t>R0202443</t>
  </si>
  <si>
    <t>R0206415</t>
  </si>
  <si>
    <t>R0202441</t>
  </si>
  <si>
    <t>R0202448</t>
  </si>
  <si>
    <t>R0202447</t>
  </si>
  <si>
    <t>3241</t>
  </si>
  <si>
    <t>R9017694</t>
  </si>
  <si>
    <t>Naknade troškova osobama izvan radnog odnosa</t>
  </si>
  <si>
    <t>R0202449</t>
  </si>
  <si>
    <t>3293</t>
  </si>
  <si>
    <t>R0206416</t>
  </si>
  <si>
    <t>Reprezentacija</t>
  </si>
  <si>
    <t>R0202445</t>
  </si>
  <si>
    <t>R0202452</t>
  </si>
  <si>
    <t>3299</t>
  </si>
  <si>
    <t>R0202451</t>
  </si>
  <si>
    <t>Ostali nespomenuti rashodi poslovanja</t>
  </si>
  <si>
    <t>R0202444</t>
  </si>
  <si>
    <t>3433</t>
  </si>
  <si>
    <t>R0206418</t>
  </si>
  <si>
    <t>Zatezne kamate</t>
  </si>
  <si>
    <t>R0205839</t>
  </si>
  <si>
    <t>R0205841</t>
  </si>
  <si>
    <t>R0205843</t>
  </si>
  <si>
    <t>R0205845</t>
  </si>
  <si>
    <t>R0205846</t>
  </si>
  <si>
    <t>R0205847</t>
  </si>
  <si>
    <t>3214</t>
  </si>
  <si>
    <t>R9002673</t>
  </si>
  <si>
    <t>Ostale naknade troškova zaposlenima</t>
  </si>
  <si>
    <t>R0205848</t>
  </si>
  <si>
    <t>R0205849</t>
  </si>
  <si>
    <t>R0205850</t>
  </si>
  <si>
    <t>R9002674</t>
  </si>
  <si>
    <t>R0205851</t>
  </si>
  <si>
    <t>R0205852</t>
  </si>
  <si>
    <t>R0205853</t>
  </si>
  <si>
    <t>R0205854</t>
  </si>
  <si>
    <t>R0205856</t>
  </si>
  <si>
    <t>R0205857</t>
  </si>
  <si>
    <t>R0205858</t>
  </si>
  <si>
    <t>R0205859</t>
  </si>
  <si>
    <t>R0205860</t>
  </si>
  <si>
    <t>R0205861</t>
  </si>
  <si>
    <t>R0205863</t>
  </si>
  <si>
    <t>R0205864</t>
  </si>
  <si>
    <t>R0205865</t>
  </si>
  <si>
    <t>R0205866</t>
  </si>
  <si>
    <t>R0205868</t>
  </si>
  <si>
    <t>R0205870</t>
  </si>
  <si>
    <t>R0205872</t>
  </si>
  <si>
    <t>R0205876</t>
  </si>
  <si>
    <t>R9004150</t>
  </si>
  <si>
    <t>R9004151</t>
  </si>
  <si>
    <t>R9004152</t>
  </si>
  <si>
    <t>R9004153</t>
  </si>
  <si>
    <t>Izvor  5.6.1 POMOĆI TEMELJEM PRIJENOSA EU SREDSTAVA-PK</t>
  </si>
  <si>
    <t>R0205878</t>
  </si>
  <si>
    <t>R0205879</t>
  </si>
  <si>
    <t>R9004149</t>
  </si>
  <si>
    <t>R9021674</t>
  </si>
  <si>
    <t>R9004148</t>
  </si>
  <si>
    <t>R9021675</t>
  </si>
  <si>
    <t>R9014550</t>
  </si>
  <si>
    <t>Aktivnost A212402 PROGRAMSKA DJELATNOST JAVNIH USTANOVA</t>
  </si>
  <si>
    <t>R9010849</t>
  </si>
  <si>
    <t>R0205796</t>
  </si>
  <si>
    <t>R0195841</t>
  </si>
  <si>
    <t>R0195842</t>
  </si>
  <si>
    <t>R0195843</t>
  </si>
  <si>
    <t>R0195844</t>
  </si>
  <si>
    <t>R0195845</t>
  </si>
  <si>
    <t>R0195846</t>
  </si>
  <si>
    <t>R0195847</t>
  </si>
  <si>
    <t>R0195848</t>
  </si>
  <si>
    <t>R9010851</t>
  </si>
  <si>
    <t>R0205804</t>
  </si>
  <si>
    <t>R0205805</t>
  </si>
  <si>
    <t>R0205806</t>
  </si>
  <si>
    <t>R0205807</t>
  </si>
  <si>
    <t>R9014938</t>
  </si>
  <si>
    <t>R0205809</t>
  </si>
  <si>
    <t>R0205810</t>
  </si>
  <si>
    <t>R0205812</t>
  </si>
  <si>
    <t>R0205814</t>
  </si>
  <si>
    <t>R0205816</t>
  </si>
  <si>
    <t>R0205819</t>
  </si>
  <si>
    <t>R0205821</t>
  </si>
  <si>
    <t>R0206424</t>
  </si>
  <si>
    <t>R0206425</t>
  </si>
  <si>
    <t>R0206426</t>
  </si>
  <si>
    <t>R0206427</t>
  </si>
  <si>
    <t>R9004241</t>
  </si>
  <si>
    <t>R9002675</t>
  </si>
  <si>
    <t>R0206428</t>
  </si>
  <si>
    <t>R0206429</t>
  </si>
  <si>
    <t>R0206430</t>
  </si>
  <si>
    <t>R0206436</t>
  </si>
  <si>
    <t>R0206437</t>
  </si>
  <si>
    <t>R0206438</t>
  </si>
  <si>
    <t>R0206440</t>
  </si>
  <si>
    <t>R0206443</t>
  </si>
  <si>
    <t>R0206444</t>
  </si>
  <si>
    <t>R9002676</t>
  </si>
  <si>
    <t>R9008147</t>
  </si>
  <si>
    <t>R0205824</t>
  </si>
  <si>
    <t>R0205825</t>
  </si>
  <si>
    <t>R0205826</t>
  </si>
  <si>
    <t>R0205828</t>
  </si>
  <si>
    <t>R0205829</t>
  </si>
  <si>
    <t>R9004154</t>
  </si>
  <si>
    <t>Aktivnost A212403 MEĐUNARODNE, MEĐUŽUPANIJSKE I GRADSKE MANIFESTACIJE</t>
  </si>
  <si>
    <t>R0195850</t>
  </si>
  <si>
    <t>Aktivnost A212404 ČLANSKE ISKAZNICE KNJIŽNICE GRADA ZAGREBA DJECI I UČENICIMA GRADA ZAGREBA</t>
  </si>
  <si>
    <t>R9015762</t>
  </si>
  <si>
    <t>3722</t>
  </si>
  <si>
    <t>R0200062</t>
  </si>
  <si>
    <t>Naknade građanima i kućanstvima u naravi</t>
  </si>
  <si>
    <t>Kapitalni projekt K212401 ODRŽAVANJE I OPREMANJE USTANOVA U KULTURI</t>
  </si>
  <si>
    <t>R9023982</t>
  </si>
  <si>
    <t>R9017618</t>
  </si>
  <si>
    <t>R9017727</t>
  </si>
  <si>
    <t>R9023950</t>
  </si>
  <si>
    <t>R9023944</t>
  </si>
  <si>
    <t>R0195869</t>
  </si>
  <si>
    <t>R9010976</t>
  </si>
  <si>
    <t>R0205790</t>
  </si>
  <si>
    <t>4222</t>
  </si>
  <si>
    <t>R9008148</t>
  </si>
  <si>
    <t>Komunikacijska oprema</t>
  </si>
  <si>
    <t>R0205791</t>
  </si>
  <si>
    <t>4226</t>
  </si>
  <si>
    <t>R0205792</t>
  </si>
  <si>
    <t>Sportska i glazbena oprema</t>
  </si>
  <si>
    <t>VRSTA PRIHODA / PRIMITAKA</t>
  </si>
  <si>
    <t>6413</t>
  </si>
  <si>
    <t>P9205339</t>
  </si>
  <si>
    <t>Kamate na oročena sredstva i depozite po viđenju</t>
  </si>
  <si>
    <t>6415</t>
  </si>
  <si>
    <t>P9208185</t>
  </si>
  <si>
    <t>Prihodi od pozitivnih tečajnih razlika i razlika zbog primjene valutne klauzule</t>
  </si>
  <si>
    <t>6416</t>
  </si>
  <si>
    <t>P0018992</t>
  </si>
  <si>
    <t>Prihodi od dividendi</t>
  </si>
  <si>
    <t>6615</t>
  </si>
  <si>
    <t>P9301242</t>
  </si>
  <si>
    <t>Prihodi od pruženih usluga</t>
  </si>
  <si>
    <t>6831</t>
  </si>
  <si>
    <t>P9601676</t>
  </si>
  <si>
    <t>Ostali prihodi</t>
  </si>
  <si>
    <t>6526</t>
  </si>
  <si>
    <t>P0018999</t>
  </si>
  <si>
    <t>Ostali nespomenuti prihodi</t>
  </si>
  <si>
    <t>9221</t>
  </si>
  <si>
    <t>P9207103</t>
  </si>
  <si>
    <t>Višak prihoda i primitaka</t>
  </si>
  <si>
    <t>6361</t>
  </si>
  <si>
    <t>P9207145</t>
  </si>
  <si>
    <t>Tekuće pomoći proračunskim korisnicima iz proračuna koji im nije nadležan</t>
  </si>
  <si>
    <t>6362</t>
  </si>
  <si>
    <t>P9207146</t>
  </si>
  <si>
    <t>Kapitalne pomoći proračunskim korisnicima iz proračuna koji im nije nadležan</t>
  </si>
  <si>
    <t>6321</t>
  </si>
  <si>
    <t>P0018976</t>
  </si>
  <si>
    <t>Tekuće pomoći od međunarodnih organizacija</t>
  </si>
  <si>
    <t>6322</t>
  </si>
  <si>
    <t>P0018977</t>
  </si>
  <si>
    <t>Kapitalne pomoći od međunarodnih organizacija</t>
  </si>
  <si>
    <t>P9207141</t>
  </si>
  <si>
    <t>6381</t>
  </si>
  <si>
    <t>P0018986</t>
  </si>
  <si>
    <t>Tekuće pomoći temeljem prijenosa EU sredstava</t>
  </si>
  <si>
    <t>P9601483</t>
  </si>
  <si>
    <t>6382</t>
  </si>
  <si>
    <t>P9207163</t>
  </si>
  <si>
    <t>Kapitalne pomoći temeljem prijenosa EU sredstava</t>
  </si>
  <si>
    <t>6632</t>
  </si>
  <si>
    <t>P9208382</t>
  </si>
  <si>
    <t>Kapitalne donacije</t>
  </si>
  <si>
    <t>7211</t>
  </si>
  <si>
    <t>P0203973</t>
  </si>
  <si>
    <t>Stambeni objekti</t>
  </si>
  <si>
    <t>A212401</t>
  </si>
  <si>
    <t>A212402</t>
  </si>
  <si>
    <t>A212403</t>
  </si>
  <si>
    <t>A212404</t>
  </si>
  <si>
    <t>K212401</t>
  </si>
  <si>
    <t>Ostvareno 2025</t>
  </si>
  <si>
    <t>Temeljnica</t>
  </si>
  <si>
    <t>Ostvareno 2025
(bez temeljnice)</t>
  </si>
  <si>
    <t>Ostvareno 2025
(KGZ - BILANCA)</t>
  </si>
  <si>
    <t>Razlika Grad - KGZ</t>
  </si>
  <si>
    <t>3.1.</t>
  </si>
  <si>
    <t>3.2.</t>
  </si>
  <si>
    <t>3.4.</t>
  </si>
  <si>
    <t>3.5.</t>
  </si>
  <si>
    <t>3.6.</t>
  </si>
  <si>
    <t>3.7.</t>
  </si>
  <si>
    <t>2.T.</t>
  </si>
  <si>
    <t>Kraj</t>
  </si>
  <si>
    <t>Izvor</t>
  </si>
  <si>
    <t>Iznos</t>
  </si>
  <si>
    <t>(Izvor 11)</t>
  </si>
  <si>
    <t>(Izvor 511)</t>
  </si>
  <si>
    <t>(Izvor 512)</t>
  </si>
  <si>
    <t>(Izvor 511</t>
  </si>
  <si>
    <t>(Izvor 111)</t>
  </si>
  <si>
    <t>(Donacije 61)</t>
  </si>
  <si>
    <t>(512)</t>
  </si>
  <si>
    <t>(11)</t>
  </si>
  <si>
    <t>Sitni inventar I autogume</t>
  </si>
  <si>
    <t>Ostvareno 2025
31.12.2025.
(bez temeljnice)</t>
  </si>
  <si>
    <t>(prema zahtjevima)</t>
  </si>
  <si>
    <t>(za doznačiti KGZ-u)</t>
  </si>
  <si>
    <t>(potencijalne obveze)</t>
  </si>
  <si>
    <t>(razlika)</t>
  </si>
  <si>
    <t>4.1.</t>
  </si>
  <si>
    <t>4.2.</t>
  </si>
  <si>
    <t>Preraspodjela</t>
  </si>
  <si>
    <t>Razlika "I" Grad - KGZ</t>
  </si>
  <si>
    <t>Ostvareno 2025
(KGZ - BILANCA
s razlikom)</t>
  </si>
  <si>
    <t>Razlika "II" Grad - KGZ
(final)</t>
  </si>
  <si>
    <t>Ostvareno 2025
(KGZ - BILANCA
s razlikom)
FINAL</t>
  </si>
  <si>
    <t>Stanje u glavnoj knjizi 2.2.2026.</t>
  </si>
  <si>
    <t>Prijedlog preknjiženja unutar iste aktivnosti</t>
  </si>
  <si>
    <t>Potencijalno novo stanje u glavnoj knjizi nakon preknjiženja</t>
  </si>
  <si>
    <t>Razlike Grad (zahtjevi) - GK, stanje 2.2.2026.</t>
  </si>
  <si>
    <t>Potencijalno nove razlike nakon preknjiženja, ako se odobre</t>
  </si>
  <si>
    <t>,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</si>
  <si>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</si>
  <si>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</si>
  <si>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</si>
  <si>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</si>
  <si>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</si>
  <si>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</si>
  <si>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</si>
  <si>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</si>
  <si>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</si>
  <si>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</si>
  <si>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</si>
  <si>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</si>
  <si>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36</t>
  </si>
  <si>
    <t>369</t>
  </si>
  <si>
    <t>324</t>
  </si>
  <si>
    <t>37</t>
  </si>
  <si>
    <t>372</t>
  </si>
  <si>
    <t>4</t>
  </si>
  <si>
    <t>42</t>
  </si>
  <si>
    <t>422</t>
  </si>
  <si>
    <t>423</t>
  </si>
  <si>
    <t>424</t>
  </si>
  <si>
    <t>45</t>
  </si>
  <si>
    <t>451</t>
  </si>
  <si>
    <t>426</t>
  </si>
  <si>
    <t/>
  </si>
  <si>
    <t>D</t>
  </si>
  <si>
    <t>GRAD ZAGREB</t>
  </si>
  <si>
    <t xml:space="preserve">Datum: </t>
  </si>
  <si>
    <t xml:space="preserve">Vrijeme: </t>
  </si>
  <si>
    <t>Trg Stjepana Radića 1</t>
  </si>
  <si>
    <t>10000, Zagreb</t>
  </si>
  <si>
    <t>OIB:61817894937</t>
  </si>
  <si>
    <t>II. Preraspodjela Proračuna za 2025.g</t>
  </si>
  <si>
    <t>Za razdoblje od 01.01.2025 do 31.12.2025</t>
  </si>
  <si>
    <t>BROJ KONTA</t>
  </si>
  <si>
    <t>PLANIRANO</t>
  </si>
  <si>
    <t>REALIZIRANO</t>
  </si>
  <si>
    <t>INDEKS</t>
  </si>
  <si>
    <t>SVEUKUPNO PRIHODI (OSIM IZVORA 1.1.2)</t>
  </si>
  <si>
    <t xml:space="preserve">Korisnik </t>
  </si>
  <si>
    <t>K129</t>
  </si>
  <si>
    <t>Razdjel</t>
  </si>
  <si>
    <t>024</t>
  </si>
  <si>
    <t>GRADSKI URED ZA KULTURU I CIVILNO DRUŠTVO</t>
  </si>
  <si>
    <t>Glava</t>
  </si>
  <si>
    <t>02402</t>
  </si>
  <si>
    <t>USTANOVE U KULTURI</t>
  </si>
  <si>
    <t>Proračunski korisnik</t>
  </si>
  <si>
    <t>24738</t>
  </si>
  <si>
    <t xml:space="preserve">Izvor </t>
  </si>
  <si>
    <t>3.1.1</t>
  </si>
  <si>
    <t>VLASTITI PRIHODI-PRORAČUNSKI KORISNICI</t>
  </si>
  <si>
    <t>64</t>
  </si>
  <si>
    <t>Prihodi od imovine</t>
  </si>
  <si>
    <t>66</t>
  </si>
  <si>
    <t>Prihodi od prodaje proizvoda i robe te pruženih usluga, prihodi od donacija te povrati po protestira</t>
  </si>
  <si>
    <t>68</t>
  </si>
  <si>
    <t>Kazne, upravne mjere i ostali prihodi</t>
  </si>
  <si>
    <t>4.3.1</t>
  </si>
  <si>
    <t>PRIHODI ZA POSEBNE NAMJENE-PRORAČUNSKI KORISNICI</t>
  </si>
  <si>
    <t>65</t>
  </si>
  <si>
    <t>Prihodi od upravnih i administrativnih pristojbi, pristojbi po posebnim propisima i naknada</t>
  </si>
  <si>
    <t>92</t>
  </si>
  <si>
    <t>Rezultat poslovanja</t>
  </si>
  <si>
    <t>5.2.1</t>
  </si>
  <si>
    <t>POMOĆI IZ DRUGIH PRORAČUNA-PK</t>
  </si>
  <si>
    <t>63</t>
  </si>
  <si>
    <t>Pomoći iz inozemstva i od subjekata unutar općeg proračuna</t>
  </si>
  <si>
    <t>5.4.1</t>
  </si>
  <si>
    <t>POMOĆI OD MEĐUNARODNIH ORGANIZACIJA-PK</t>
  </si>
  <si>
    <t>5.6.1</t>
  </si>
  <si>
    <t>POMOĆI TEMELJEM PRIJENOSA EU SREDSTAVA-PK</t>
  </si>
  <si>
    <t>5.7.1</t>
  </si>
  <si>
    <t>FOND SOLIDARNOSTI EUROPSKE UNIJE-PK</t>
  </si>
  <si>
    <t>6.1.1</t>
  </si>
  <si>
    <t>DONACIJE-PRORAČUNSKI KORISNICI</t>
  </si>
  <si>
    <t>7.1.1</t>
  </si>
  <si>
    <t>PRIHODI OD PRODAJE ILI ZAMJ. NEF. IMOVINE I NAKN. S NASL.-PK</t>
  </si>
  <si>
    <t>72</t>
  </si>
  <si>
    <t>Prihodi od prodaje proizvedene dugotrajne imovine</t>
  </si>
  <si>
    <t>1.1.2.</t>
  </si>
  <si>
    <t>GRAD</t>
  </si>
  <si>
    <t>UKUPNO PRIHODI KNJIŽNICE GRADA ZAGREBA</t>
  </si>
  <si>
    <t xml:space="preserve">Plan 2025 </t>
  </si>
  <si>
    <t>Proračunski korisnik 24738 KNJIŽNICE GRADA ZAGREBA
Program 2124 JAVNA UPRAVA I ADMINISTRACIJA</t>
  </si>
  <si>
    <t>Ostvarenje
2025</t>
  </si>
  <si>
    <t>Ostvarenje
2024</t>
  </si>
  <si>
    <t>OSTVARENJE PRORAČUNA I FINANCIJSKOG PLANA ZA 2025.</t>
  </si>
  <si>
    <t>UKUPNO RASHODI</t>
  </si>
  <si>
    <t>6711</t>
  </si>
  <si>
    <t>6712</t>
  </si>
  <si>
    <t>Prihodi iz nadležnog proračuna za financiranje rashoda poslovanja</t>
  </si>
  <si>
    <t>Prihodi iz nadležnog proračuna za financiranje rashoda za nabavu nefinancijske imovine</t>
  </si>
  <si>
    <t>UKUPNO PRIHODI</t>
  </si>
  <si>
    <t>PRI</t>
  </si>
  <si>
    <t>Ostv. 2025 / Ostv.2024
(5/3)</t>
  </si>
  <si>
    <t>Ostv. 2025 / Plan 2025
(5/4)</t>
  </si>
  <si>
    <t>RAS</t>
  </si>
  <si>
    <t>08</t>
  </si>
  <si>
    <t>Rekreacija, kultura i religija (šifre 081 do 086)</t>
  </si>
  <si>
    <t>081</t>
  </si>
  <si>
    <t>Službe rekreacije i sporta</t>
  </si>
  <si>
    <t>082</t>
  </si>
  <si>
    <t>Službe kulture</t>
  </si>
  <si>
    <t>083</t>
  </si>
  <si>
    <t>Službe emitiranja i izdavanja</t>
  </si>
  <si>
    <t>084</t>
  </si>
  <si>
    <t>Religijske i druge službe zajednice</t>
  </si>
  <si>
    <t>085</t>
  </si>
  <si>
    <t>Istraživanje i razvoj rekreacije, kulture i religije</t>
  </si>
  <si>
    <t>086</t>
  </si>
  <si>
    <t>Rashodi za rekreaciju, kulturu i religiju koje nisu drugdje svrstane</t>
  </si>
  <si>
    <t>Brojč. ozn. funk. klas.</t>
  </si>
  <si>
    <t>OPĆI PRIHODI I PRIMICI - PK U SUSTAVU RIZNICE</t>
  </si>
  <si>
    <t>NAZIV IZVORA</t>
  </si>
  <si>
    <t>3.1.1.</t>
  </si>
  <si>
    <t>4.3.1.</t>
  </si>
  <si>
    <t>5.2.1.</t>
  </si>
  <si>
    <t>5.4.1.</t>
  </si>
  <si>
    <t>5.6.1.</t>
  </si>
  <si>
    <t>6.1.1.</t>
  </si>
  <si>
    <t>7.1.1.</t>
  </si>
  <si>
    <t>NAZIV FUNKCIONALNE KLASIFIKACIJE</t>
  </si>
  <si>
    <t>Konto</t>
  </si>
  <si>
    <t>NAZIV KONTA</t>
  </si>
  <si>
    <t>PRIHODI POSLOVANJA</t>
  </si>
  <si>
    <t>PRENESENI VIŠAK</t>
  </si>
  <si>
    <t>Razred</t>
  </si>
  <si>
    <t>NAZIV</t>
  </si>
  <si>
    <t>RASHODI POSLOVANJA</t>
  </si>
  <si>
    <t>RASHODI ZA NABAVU NEFINANCIJSKE IMOVINE</t>
  </si>
  <si>
    <t>( PRIHOD )</t>
  </si>
  <si>
    <t>sažetak</t>
  </si>
  <si>
    <t>po kontima</t>
  </si>
  <si>
    <t>po izvorima</t>
  </si>
  <si>
    <t>funkcionalna</t>
  </si>
  <si>
    <t>posebni dio</t>
  </si>
  <si>
    <t>PRIHODI OD PRODAJE NEFINANCIJSKE IMOVINE</t>
  </si>
  <si>
    <t>( RASHOD )</t>
  </si>
  <si>
    <t xml:space="preserve">UKUPNO </t>
  </si>
  <si>
    <t>PRIHODI</t>
  </si>
  <si>
    <t>RASHODI</t>
  </si>
  <si>
    <t>#
PRI-RAS</t>
  </si>
  <si>
    <t>VRSTA PRIHODA/RASHODA</t>
  </si>
  <si>
    <t>PLAN 2024.</t>
  </si>
  <si>
    <t>Ukupno ostvareno</t>
  </si>
  <si>
    <t>Indeks</t>
  </si>
  <si>
    <t>1.</t>
  </si>
  <si>
    <t>2.</t>
  </si>
  <si>
    <t>3.</t>
  </si>
  <si>
    <t>4.</t>
  </si>
  <si>
    <t>SVEUKUPNO PRIHODI / PRIMICI</t>
  </si>
  <si>
    <t>Razdjel 024</t>
  </si>
  <si>
    <t>Glava 024       02</t>
  </si>
  <si>
    <t>Proračunski korisnik 024       02        24738</t>
  </si>
  <si>
    <t>Izvor 1.1.2.</t>
  </si>
  <si>
    <t>Izvor 3.1.1</t>
  </si>
  <si>
    <t>Izvor 4.3.1</t>
  </si>
  <si>
    <t>Izvor 5.2.1</t>
  </si>
  <si>
    <t>Izvor 5.4.1</t>
  </si>
  <si>
    <t>Višak prihoda</t>
  </si>
  <si>
    <t>Izvor 5.6.1</t>
  </si>
  <si>
    <t>Izvor 6.1.1</t>
  </si>
  <si>
    <t>Izvor 7.1.1</t>
  </si>
  <si>
    <t>SVEUKUPNO RASHODI / IZDACI</t>
  </si>
  <si>
    <t>Aktivnost A212401</t>
  </si>
  <si>
    <t>REDOVNA DJELATNOST PRORAČUNSKIH KORISNIKA</t>
  </si>
  <si>
    <t>Izvor 1.1.2</t>
  </si>
  <si>
    <t>Usluge telefona, pošte i prijevoza</t>
  </si>
  <si>
    <t>Usluge tekućeg i investicijskog održavanja</t>
  </si>
  <si>
    <t>Sitni inventar i auto gume</t>
  </si>
  <si>
    <t>+</t>
  </si>
  <si>
    <t>Aktivnost A212402</t>
  </si>
  <si>
    <t>PROGRAMSKA DJELATNOST JAVNIH USTANOVA</t>
  </si>
  <si>
    <t>Aktivnost A212404</t>
  </si>
  <si>
    <t>ČLANSKE ISKAZNICE KNJIŽNICE GRADA ZAGREBA DJECI I UČENICIMA GRADA ZAGREBA</t>
  </si>
  <si>
    <t>Aktivnost K212401</t>
  </si>
  <si>
    <t>ODRŽAVANJE I OPREMANJE USTANOVA U KULTURI</t>
  </si>
  <si>
    <t>Aktivnost</t>
  </si>
  <si>
    <t>Kumulativ</t>
  </si>
  <si>
    <t>*</t>
  </si>
  <si>
    <t>Grad
112</t>
  </si>
  <si>
    <t>Razlika
KGZ-GRAD</t>
  </si>
  <si>
    <t>CTRL Prihodi
stari</t>
  </si>
  <si>
    <t>PrRas</t>
  </si>
  <si>
    <t>Nakon usklađenja</t>
  </si>
  <si>
    <t>Razlike</t>
  </si>
  <si>
    <t>Ostvarenje
2025 - U</t>
  </si>
  <si>
    <t>R9028882</t>
  </si>
  <si>
    <t>R9028883</t>
  </si>
  <si>
    <t>R9028884</t>
  </si>
  <si>
    <t>R9028885</t>
  </si>
  <si>
    <t>Pozicija</t>
  </si>
  <si>
    <t>Prijedlog</t>
  </si>
  <si>
    <t>Prijedlog KGZ</t>
  </si>
  <si>
    <t>VAŽNO
REAL.
RIZN.</t>
  </si>
  <si>
    <t>Ostvarenje
I.-VI. 2025.</t>
  </si>
  <si>
    <t>Plan 2026</t>
  </si>
  <si>
    <t>Ostv. 2026 / Ostv.2025
(5/3)</t>
  </si>
  <si>
    <t>Ostv. 2026 / Plan 2026
(5/4)</t>
  </si>
  <si>
    <t>OSTVARENJE PRORAČUNA I FINANCIJSKOG PLANA ZA RAZDOBLJE I. - VI. 2026.</t>
  </si>
  <si>
    <t>OSTVARENJE PRORAČUNA I FINANCIJSKOG PLANA ZA RAZDOBLJE I. - VI. 2026.
( prema funkcionalnoj klasifikaciji )</t>
  </si>
  <si>
    <t>OSTVARENJE PRORAČUNA I FINANCIJSKOG PLANA ZA RAZDOBLJE I. - VI. 2026.
( po izvorima )</t>
  </si>
  <si>
    <t>OSTVARENJE PRORAČUNA I FINANCIJSKOG PLANA ZA RAZDOBLJE I. - VI. 2026.
( po kontima )</t>
  </si>
  <si>
    <t>OSTVARENJE PRORAČUNA I FINANCIJSKOG PLANA ZA RAZDOBLJE I. - VI. 2026.
( sažetak )</t>
  </si>
  <si>
    <t>Ostvarenje
I.-VI. 2026.</t>
  </si>
  <si>
    <t>Izvor  5.1.0 PROGRAMI UNIJE</t>
  </si>
  <si>
    <t>6311</t>
  </si>
  <si>
    <t>Tekuće pomoći od inozemnih osoba</t>
  </si>
  <si>
    <t>6323</t>
  </si>
  <si>
    <t>Tekuće pomoći od institucija i tijela EU</t>
  </si>
  <si>
    <t>Izvor  5.6.1 EUROPSKI SOCIJALNI FOND PLUS</t>
  </si>
  <si>
    <t>Izvor  5.6.2 KOHEZIJSKI FOND</t>
  </si>
  <si>
    <t>5.1.0.</t>
  </si>
  <si>
    <t>PROGRAMI UNIJE</t>
  </si>
  <si>
    <t>5.6.2.</t>
  </si>
  <si>
    <t>KOHEZIJSKI FOND</t>
  </si>
  <si>
    <t>Izvor  5.6.1 POMOĆI OD MEĐUNARODNIH ORGANIZACIJA-PK</t>
  </si>
  <si>
    <t>OSTVARENJE PRORAČUNA I FINANCIJSKOG PLANA ZA I. - VI. 2026.
( po izvorima )</t>
  </si>
  <si>
    <t>Ostvarenje
I. - VI. 2026</t>
  </si>
  <si>
    <t>Rezultat</t>
  </si>
  <si>
    <t>Ostvarenje
I. - VI. 2025.</t>
  </si>
  <si>
    <t>Ostvarenje
I. - VI.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</si>
</sst>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1A]#,##0.00;\-#,##0.00"/>
    <numFmt numFmtId="165" formatCode="[$-1041A]#,##0.00%"/>
    <numFmt numFmtId="166" formatCode="#,##0.00_ ;\-#,##0.00\ "/>
    <numFmt numFmtId="167" formatCode="dd\.mm\.yyyy"/>
  </numFmts>
  <fonts count="38" x14ac:knownFonts="1">
    <font>
      <sz val="10"/>
      <name val="Arial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4" tint="-0.499984740745262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9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C00000"/>
      <name val="Arial"/>
      <family val="2"/>
      <charset val="238"/>
    </font>
    <font>
      <b/>
      <sz val="7.5"/>
      <color theme="4" tint="-0.499984740745262"/>
      <name val="Arial"/>
      <family val="2"/>
      <charset val="238"/>
    </font>
    <font>
      <b/>
      <sz val="10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8"/>
      <color theme="8" tint="-0.249977111117893"/>
      <name val="Arial"/>
      <family val="2"/>
      <charset val="238"/>
    </font>
    <font>
      <b/>
      <sz val="9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b/>
      <sz val="11.95"/>
      <color indexed="8"/>
      <name val="Arial"/>
      <family val="2"/>
      <charset val="238"/>
    </font>
    <font>
      <sz val="9"/>
      <color indexed="10"/>
      <name val="Tahoma"/>
      <family val="2"/>
      <charset val="238"/>
    </font>
    <font>
      <sz val="8"/>
      <color indexed="10"/>
      <name val="Arial"/>
      <family val="2"/>
      <charset val="238"/>
    </font>
    <font>
      <sz val="8"/>
      <color indexed="12"/>
      <name val="Arial"/>
      <family val="2"/>
      <charset val="238"/>
    </font>
    <font>
      <sz val="8"/>
      <name val="Arial"/>
      <family val="2"/>
      <charset val="238"/>
    </font>
    <font>
      <sz val="8"/>
      <color indexed="13"/>
      <name val="Arial"/>
      <family val="2"/>
      <charset val="238"/>
    </font>
    <font>
      <b/>
      <sz val="10"/>
      <color theme="9" tint="0.39997558519241921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11"/>
      <color rgb="FFC00000"/>
      <name val="Arial"/>
      <family val="2"/>
      <charset val="238"/>
    </font>
    <font>
      <sz val="9"/>
      <color rgb="FFC00000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b/>
      <sz val="10"/>
      <color theme="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indexed="14"/>
        <bgColor indexed="0"/>
      </patternFill>
    </fill>
    <fill>
      <patternFill patternType="solid">
        <fgColor indexed="15"/>
        <bgColor indexed="0"/>
      </patternFill>
    </fill>
    <fill>
      <patternFill patternType="solid">
        <fgColor indexed="16"/>
        <bgColor indexed="0"/>
      </patternFill>
    </fill>
    <fill>
      <patternFill patternType="solid">
        <fgColor theme="8" tint="-0.24994659260841701"/>
        <bgColor indexed="0"/>
      </patternFill>
    </fill>
    <fill>
      <patternFill patternType="solid">
        <fgColor theme="9" tint="-0.24994659260841701"/>
        <bgColor indexed="0"/>
      </patternFill>
    </fill>
    <fill>
      <patternFill patternType="solid">
        <fgColor theme="9" tint="0.39994506668294322"/>
        <bgColor indexed="0"/>
      </patternFill>
    </fill>
    <fill>
      <patternFill patternType="solid">
        <fgColor theme="7" tint="0.59996337778862885"/>
        <bgColor indexed="0"/>
      </patternFill>
    </fill>
    <fill>
      <patternFill patternType="solid">
        <fgColor theme="9" tint="0.5999633777886288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 tint="-0.24994659260841701"/>
        <bgColor indexed="0"/>
      </patternFill>
    </fill>
    <fill>
      <patternFill patternType="solid">
        <fgColor theme="0" tint="-0.14996795556505021"/>
        <bgColor indexed="0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rgb="FF0070C0"/>
        <bgColor indexed="0"/>
      </patternFill>
    </fill>
    <fill>
      <patternFill patternType="solid">
        <fgColor rgb="FF0066FF"/>
        <bgColor indexed="0"/>
      </patternFill>
    </fill>
    <fill>
      <patternFill patternType="solid">
        <fgColor theme="7" tint="0.59999389629810485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4">
    <border>
      <left/>
      <right/>
      <top/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 style="thick">
        <color indexed="8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medium">
        <color theme="0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theme="0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medium">
        <color theme="0"/>
      </bottom>
      <diagonal/>
    </border>
    <border>
      <left/>
      <right/>
      <top style="medium">
        <color theme="0"/>
      </top>
      <bottom style="medium">
        <color rgb="FFC00000"/>
      </bottom>
      <diagonal/>
    </border>
    <border>
      <left/>
      <right/>
      <top style="thick">
        <color indexed="8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50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164" fontId="3" fillId="0" borderId="0" xfId="0" applyNumberFormat="1" applyFont="1" applyAlignment="1" applyProtection="1">
      <alignment vertical="top" wrapText="1" readingOrder="1"/>
      <protection locked="0"/>
    </xf>
    <xf numFmtId="165" fontId="3" fillId="0" borderId="0" xfId="0" applyNumberFormat="1" applyFont="1" applyAlignment="1" applyProtection="1">
      <alignment vertical="top" wrapText="1" readingOrder="1"/>
      <protection locked="0"/>
    </xf>
    <xf numFmtId="0" fontId="4" fillId="2" borderId="0" xfId="0" applyFont="1" applyFill="1" applyAlignment="1" applyProtection="1">
      <alignment vertical="top" wrapText="1" readingOrder="1"/>
      <protection locked="0"/>
    </xf>
    <xf numFmtId="164" fontId="4" fillId="2" borderId="0" xfId="0" applyNumberFormat="1" applyFont="1" applyFill="1" applyAlignment="1" applyProtection="1">
      <alignment vertical="top" wrapText="1" readingOrder="1"/>
      <protection locked="0"/>
    </xf>
    <xf numFmtId="165" fontId="4" fillId="2" borderId="0" xfId="0" applyNumberFormat="1" applyFont="1" applyFill="1" applyAlignment="1" applyProtection="1">
      <alignment vertical="top" wrapText="1" readingOrder="1"/>
      <protection locked="0"/>
    </xf>
    <xf numFmtId="0" fontId="5" fillId="3" borderId="0" xfId="0" applyFont="1" applyFill="1" applyAlignment="1" applyProtection="1">
      <alignment vertical="top" wrapText="1" readingOrder="1"/>
      <protection locked="0"/>
    </xf>
    <xf numFmtId="164" fontId="5" fillId="3" borderId="0" xfId="0" applyNumberFormat="1" applyFont="1" applyFill="1" applyAlignment="1" applyProtection="1">
      <alignment vertical="top" wrapText="1" readingOrder="1"/>
      <protection locked="0"/>
    </xf>
    <xf numFmtId="165" fontId="5" fillId="3" borderId="0" xfId="0" applyNumberFormat="1" applyFont="1" applyFill="1" applyAlignment="1" applyProtection="1">
      <alignment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164" fontId="5" fillId="4" borderId="0" xfId="0" applyNumberFormat="1" applyFont="1" applyFill="1" applyAlignment="1" applyProtection="1">
      <alignment vertical="top" wrapText="1" readingOrder="1"/>
      <protection locked="0"/>
    </xf>
    <xf numFmtId="165" fontId="5" fillId="4" borderId="0" xfId="0" applyNumberFormat="1" applyFont="1" applyFill="1" applyAlignment="1" applyProtection="1">
      <alignment vertical="top" wrapText="1" readingOrder="1"/>
      <protection locked="0"/>
    </xf>
    <xf numFmtId="0" fontId="5" fillId="5" borderId="0" xfId="0" applyFont="1" applyFill="1" applyAlignment="1" applyProtection="1">
      <alignment vertical="top" wrapText="1" readingOrder="1"/>
      <protection locked="0"/>
    </xf>
    <xf numFmtId="164" fontId="5" fillId="5" borderId="0" xfId="0" applyNumberFormat="1" applyFont="1" applyFill="1" applyAlignment="1" applyProtection="1">
      <alignment vertical="top" wrapText="1" readingOrder="1"/>
      <protection locked="0"/>
    </xf>
    <xf numFmtId="165" fontId="5" fillId="5" borderId="0" xfId="0" applyNumberFormat="1" applyFont="1" applyFill="1" applyAlignment="1" applyProtection="1">
      <alignment vertical="top" wrapText="1" readingOrder="1"/>
      <protection locked="0"/>
    </xf>
    <xf numFmtId="0" fontId="5" fillId="6" borderId="0" xfId="0" applyFont="1" applyFill="1" applyAlignment="1" applyProtection="1">
      <alignment vertical="top" wrapText="1" readingOrder="1"/>
      <protection locked="0"/>
    </xf>
    <xf numFmtId="164" fontId="5" fillId="6" borderId="0" xfId="0" applyNumberFormat="1" applyFont="1" applyFill="1" applyAlignment="1" applyProtection="1">
      <alignment vertical="top" wrapText="1" readingOrder="1"/>
      <protection locked="0"/>
    </xf>
    <xf numFmtId="165" fontId="5" fillId="6" borderId="0" xfId="0" applyNumberFormat="1" applyFont="1" applyFill="1" applyAlignment="1" applyProtection="1">
      <alignment vertical="top" wrapText="1" readingOrder="1"/>
      <protection locked="0"/>
    </xf>
    <xf numFmtId="0" fontId="5" fillId="7" borderId="0" xfId="0" applyFont="1" applyFill="1" applyAlignment="1" applyProtection="1">
      <alignment vertical="top" wrapText="1" readingOrder="1"/>
      <protection locked="0"/>
    </xf>
    <xf numFmtId="164" fontId="5" fillId="7" borderId="0" xfId="0" applyNumberFormat="1" applyFont="1" applyFill="1" applyAlignment="1" applyProtection="1">
      <alignment vertical="top" wrapText="1" readingOrder="1"/>
      <protection locked="0"/>
    </xf>
    <xf numFmtId="165" fontId="5" fillId="7" borderId="0" xfId="0" applyNumberFormat="1" applyFont="1" applyFill="1" applyAlignment="1" applyProtection="1">
      <alignment vertical="top" wrapText="1" readingOrder="1"/>
      <protection locked="0"/>
    </xf>
    <xf numFmtId="0" fontId="0" fillId="0" borderId="0" xfId="0" applyAlignment="1">
      <alignment vertical="center"/>
    </xf>
    <xf numFmtId="0" fontId="3" fillId="0" borderId="0" xfId="0" applyFont="1" applyAlignment="1" applyProtection="1">
      <alignment vertical="center" wrapText="1" readingOrder="1"/>
      <protection locked="0"/>
    </xf>
    <xf numFmtId="164" fontId="3" fillId="0" borderId="0" xfId="0" applyNumberFormat="1" applyFont="1" applyAlignment="1" applyProtection="1">
      <alignment vertical="center" wrapText="1" readingOrder="1"/>
      <protection locked="0"/>
    </xf>
    <xf numFmtId="165" fontId="3" fillId="0" borderId="0" xfId="0" applyNumberFormat="1" applyFont="1" applyAlignment="1" applyProtection="1">
      <alignment vertical="center" wrapText="1" readingOrder="1"/>
      <protection locked="0"/>
    </xf>
    <xf numFmtId="0" fontId="0" fillId="0" borderId="0" xfId="0" applyAlignment="1">
      <alignment horizontal="left" vertical="center" indent="1"/>
    </xf>
    <xf numFmtId="0" fontId="3" fillId="0" borderId="0" xfId="0" applyFont="1" applyAlignment="1" applyProtection="1">
      <alignment horizontal="center" vertical="center" wrapText="1" readingOrder="1"/>
      <protection locked="0"/>
    </xf>
    <xf numFmtId="4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164" fontId="4" fillId="0" borderId="0" xfId="0" applyNumberFormat="1" applyFont="1" applyAlignment="1" applyProtection="1">
      <alignment vertical="center" wrapText="1" readingOrder="1"/>
      <protection locked="0"/>
    </xf>
    <xf numFmtId="165" fontId="4" fillId="0" borderId="0" xfId="0" applyNumberFormat="1" applyFont="1" applyAlignment="1" applyProtection="1">
      <alignment vertical="center" wrapText="1" readingOrder="1"/>
      <protection locked="0"/>
    </xf>
    <xf numFmtId="0" fontId="3" fillId="0" borderId="0" xfId="0" applyFont="1" applyAlignment="1" applyProtection="1">
      <alignment horizontal="left" vertical="center" wrapText="1" readingOrder="1"/>
      <protection locked="0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164" fontId="5" fillId="8" borderId="0" xfId="0" applyNumberFormat="1" applyFont="1" applyFill="1" applyAlignment="1" applyProtection="1">
      <alignment vertical="center" wrapText="1" readingOrder="1"/>
      <protection locked="0"/>
    </xf>
    <xf numFmtId="165" fontId="5" fillId="8" borderId="0" xfId="0" applyNumberFormat="1" applyFont="1" applyFill="1" applyAlignment="1" applyProtection="1">
      <alignment vertical="center" wrapText="1" readingOrder="1"/>
      <protection locked="0"/>
    </xf>
    <xf numFmtId="0" fontId="5" fillId="8" borderId="3" xfId="0" applyFont="1" applyFill="1" applyBorder="1" applyAlignment="1" applyProtection="1">
      <alignment horizontal="center" vertical="center" wrapText="1" readingOrder="1"/>
      <protection locked="0"/>
    </xf>
    <xf numFmtId="16" fontId="5" fillId="8" borderId="3" xfId="0" applyNumberFormat="1" applyFont="1" applyFill="1" applyBorder="1" applyAlignment="1" applyProtection="1">
      <alignment horizontal="center" vertical="center" wrapText="1" readingOrder="1"/>
      <protection locked="0"/>
    </xf>
    <xf numFmtId="164" fontId="5" fillId="9" borderId="4" xfId="0" applyNumberFormat="1" applyFont="1" applyFill="1" applyBorder="1" applyAlignment="1" applyProtection="1">
      <alignment vertical="center" wrapText="1" readingOrder="1"/>
      <protection locked="0"/>
    </xf>
    <xf numFmtId="165" fontId="5" fillId="9" borderId="4" xfId="0" applyNumberFormat="1" applyFont="1" applyFill="1" applyBorder="1" applyAlignment="1" applyProtection="1">
      <alignment vertical="center" wrapText="1" readingOrder="1"/>
      <protection locked="0"/>
    </xf>
    <xf numFmtId="164" fontId="5" fillId="10" borderId="4" xfId="0" applyNumberFormat="1" applyFont="1" applyFill="1" applyBorder="1" applyAlignment="1" applyProtection="1">
      <alignment vertical="center" wrapText="1" readingOrder="1"/>
      <protection locked="0"/>
    </xf>
    <xf numFmtId="165" fontId="5" fillId="10" borderId="4" xfId="0" applyNumberFormat="1" applyFont="1" applyFill="1" applyBorder="1" applyAlignment="1" applyProtection="1">
      <alignment vertical="center" wrapText="1" readingOrder="1"/>
      <protection locked="0"/>
    </xf>
    <xf numFmtId="164" fontId="5" fillId="8" borderId="5" xfId="0" applyNumberFormat="1" applyFont="1" applyFill="1" applyBorder="1" applyAlignment="1" applyProtection="1">
      <alignment vertical="center" wrapText="1" readingOrder="1"/>
      <protection locked="0"/>
    </xf>
    <xf numFmtId="165" fontId="5" fillId="8" borderId="5" xfId="0" applyNumberFormat="1" applyFont="1" applyFill="1" applyBorder="1" applyAlignment="1" applyProtection="1">
      <alignment vertical="center" wrapText="1" readingOrder="1"/>
      <protection locked="0"/>
    </xf>
    <xf numFmtId="0" fontId="10" fillId="0" borderId="1" xfId="0" applyFont="1" applyBorder="1" applyAlignment="1" applyProtection="1">
      <alignment vertical="center" wrapText="1" readingOrder="1"/>
      <protection locked="0"/>
    </xf>
    <xf numFmtId="0" fontId="10" fillId="0" borderId="1" xfId="0" applyFont="1" applyBorder="1" applyAlignment="1" applyProtection="1">
      <alignment horizontal="right" vertical="center" wrapText="1" readingOrder="1"/>
      <protection locked="0"/>
    </xf>
    <xf numFmtId="0" fontId="10" fillId="0" borderId="1" xfId="0" applyFont="1" applyBorder="1" applyAlignment="1" applyProtection="1">
      <alignment horizontal="center" vertical="center" wrapText="1" readingOrder="1"/>
      <protection locked="0"/>
    </xf>
    <xf numFmtId="164" fontId="4" fillId="11" borderId="0" xfId="0" applyNumberFormat="1" applyFont="1" applyFill="1" applyAlignment="1" applyProtection="1">
      <alignment vertical="center" wrapText="1" readingOrder="1"/>
      <protection locked="0"/>
    </xf>
    <xf numFmtId="165" fontId="4" fillId="11" borderId="0" xfId="0" applyNumberFormat="1" applyFont="1" applyFill="1" applyAlignment="1" applyProtection="1">
      <alignment vertical="center" wrapText="1" readingOrder="1"/>
      <protection locked="0"/>
    </xf>
    <xf numFmtId="166" fontId="4" fillId="11" borderId="0" xfId="0" applyNumberFormat="1" applyFont="1" applyFill="1" applyAlignment="1" applyProtection="1">
      <alignment vertical="center" wrapText="1" readingOrder="1"/>
      <protection locked="0"/>
    </xf>
    <xf numFmtId="0" fontId="9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166" fontId="0" fillId="0" borderId="0" xfId="0" applyNumberFormat="1"/>
    <xf numFmtId="0" fontId="11" fillId="0" borderId="0" xfId="0" applyFont="1" applyAlignment="1">
      <alignment horizontal="left" vertical="center" indent="1"/>
    </xf>
    <xf numFmtId="164" fontId="3" fillId="0" borderId="0" xfId="0" quotePrefix="1" applyNumberFormat="1" applyFont="1" applyAlignment="1" applyProtection="1">
      <alignment vertical="center" wrapText="1" readingOrder="1"/>
      <protection locked="0"/>
    </xf>
    <xf numFmtId="0" fontId="10" fillId="0" borderId="0" xfId="0" applyFont="1" applyAlignment="1" applyProtection="1">
      <alignment horizontal="center" vertical="center" wrapText="1" readingOrder="1"/>
      <protection locked="0"/>
    </xf>
    <xf numFmtId="0" fontId="5" fillId="8" borderId="0" xfId="0" applyFont="1" applyFill="1" applyAlignment="1" applyProtection="1">
      <alignment horizontal="center" vertical="center" wrapText="1" readingOrder="1"/>
      <protection locked="0"/>
    </xf>
    <xf numFmtId="164" fontId="5" fillId="9" borderId="0" xfId="0" applyNumberFormat="1" applyFont="1" applyFill="1" applyAlignment="1" applyProtection="1">
      <alignment vertical="center" wrapText="1" readingOrder="1"/>
      <protection locked="0"/>
    </xf>
    <xf numFmtId="164" fontId="5" fillId="10" borderId="0" xfId="0" applyNumberFormat="1" applyFont="1" applyFill="1" applyAlignment="1" applyProtection="1">
      <alignment vertical="center" wrapText="1" readingOrder="1"/>
      <protection locked="0"/>
    </xf>
    <xf numFmtId="0" fontId="3" fillId="12" borderId="0" xfId="0" applyFont="1" applyFill="1" applyAlignment="1" applyProtection="1">
      <alignment vertical="center" wrapText="1" readingOrder="1"/>
      <protection locked="0"/>
    </xf>
    <xf numFmtId="0" fontId="3" fillId="12" borderId="0" xfId="0" applyFont="1" applyFill="1" applyAlignment="1" applyProtection="1">
      <alignment horizontal="left" vertical="center" wrapText="1" readingOrder="1"/>
      <protection locked="0"/>
    </xf>
    <xf numFmtId="0" fontId="6" fillId="0" borderId="0" xfId="0" applyFont="1"/>
    <xf numFmtId="0" fontId="6" fillId="0" borderId="0" xfId="1" applyAlignment="1">
      <alignment vertical="center"/>
    </xf>
    <xf numFmtId="0" fontId="6" fillId="0" borderId="0" xfId="1" applyAlignment="1">
      <alignment horizontal="right" vertical="center"/>
    </xf>
    <xf numFmtId="167" fontId="6" fillId="0" borderId="0" xfId="1" applyNumberFormat="1" applyAlignment="1">
      <alignment horizontal="left" vertical="center"/>
    </xf>
    <xf numFmtId="20" fontId="6" fillId="0" borderId="0" xfId="1" applyNumberFormat="1" applyAlignment="1">
      <alignment horizontal="left" vertical="center"/>
    </xf>
    <xf numFmtId="4" fontId="6" fillId="0" borderId="0" xfId="1" applyNumberFormat="1" applyAlignment="1">
      <alignment vertical="center"/>
    </xf>
    <xf numFmtId="0" fontId="7" fillId="0" borderId="0" xfId="1" applyFont="1" applyAlignment="1">
      <alignment vertical="center"/>
    </xf>
    <xf numFmtId="4" fontId="13" fillId="13" borderId="0" xfId="1" applyNumberFormat="1" applyFont="1" applyFill="1" applyAlignment="1">
      <alignment vertical="center"/>
    </xf>
    <xf numFmtId="4" fontId="14" fillId="0" borderId="0" xfId="1" applyNumberFormat="1" applyFont="1" applyAlignment="1">
      <alignment vertical="center"/>
    </xf>
    <xf numFmtId="4" fontId="14" fillId="14" borderId="0" xfId="1" applyNumberFormat="1" applyFont="1" applyFill="1" applyAlignment="1">
      <alignment vertical="center"/>
    </xf>
    <xf numFmtId="0" fontId="6" fillId="15" borderId="0" xfId="1" applyFill="1" applyAlignment="1">
      <alignment vertical="center"/>
    </xf>
    <xf numFmtId="4" fontId="6" fillId="15" borderId="0" xfId="1" applyNumberFormat="1" applyFill="1" applyAlignment="1">
      <alignment vertical="center"/>
    </xf>
    <xf numFmtId="4" fontId="14" fillId="14" borderId="0" xfId="1" applyNumberFormat="1" applyFont="1" applyFill="1" applyAlignment="1">
      <alignment horizontal="left" vertical="center"/>
    </xf>
    <xf numFmtId="164" fontId="15" fillId="16" borderId="0" xfId="0" applyNumberFormat="1" applyFont="1" applyFill="1" applyAlignment="1" applyProtection="1">
      <alignment vertical="center" wrapText="1" readingOrder="1"/>
      <protection locked="0"/>
    </xf>
    <xf numFmtId="0" fontId="10" fillId="0" borderId="7" xfId="0" applyFont="1" applyBorder="1" applyAlignment="1" applyProtection="1">
      <alignment horizontal="center" vertical="center" wrapText="1" readingOrder="1"/>
      <protection locked="0"/>
    </xf>
    <xf numFmtId="0" fontId="5" fillId="8" borderId="6" xfId="0" applyFont="1" applyFill="1" applyBorder="1" applyAlignment="1" applyProtection="1">
      <alignment horizontal="center" vertical="center" wrapText="1" readingOrder="1"/>
      <protection locked="0"/>
    </xf>
    <xf numFmtId="164" fontId="5" fillId="8" borderId="4" xfId="0" applyNumberFormat="1" applyFont="1" applyFill="1" applyBorder="1" applyAlignment="1" applyProtection="1">
      <alignment vertical="center" wrapText="1" readingOrder="1"/>
      <protection locked="0"/>
    </xf>
    <xf numFmtId="0" fontId="12" fillId="0" borderId="0" xfId="0" applyFont="1" applyAlignment="1">
      <alignment vertical="center" wrapText="1"/>
    </xf>
    <xf numFmtId="0" fontId="3" fillId="0" borderId="8" xfId="0" applyFont="1" applyBorder="1" applyAlignment="1" applyProtection="1">
      <alignment vertical="center" wrapText="1" readingOrder="1"/>
      <protection locked="0"/>
    </xf>
    <xf numFmtId="164" fontId="3" fillId="0" borderId="8" xfId="0" applyNumberFormat="1" applyFont="1" applyBorder="1" applyAlignment="1" applyProtection="1">
      <alignment vertical="center" wrapText="1" readingOrder="1"/>
      <protection locked="0"/>
    </xf>
    <xf numFmtId="0" fontId="3" fillId="0" borderId="9" xfId="0" applyFont="1" applyBorder="1" applyAlignment="1" applyProtection="1">
      <alignment vertical="center" wrapText="1" readingOrder="1"/>
      <protection locked="0"/>
    </xf>
    <xf numFmtId="164" fontId="3" fillId="0" borderId="9" xfId="0" applyNumberFormat="1" applyFont="1" applyBorder="1" applyAlignment="1" applyProtection="1">
      <alignment vertical="center" wrapText="1" readingOrder="1"/>
      <protection locked="0"/>
    </xf>
    <xf numFmtId="0" fontId="3" fillId="0" borderId="10" xfId="0" applyFont="1" applyBorder="1" applyAlignment="1" applyProtection="1">
      <alignment vertical="center" wrapText="1" readingOrder="1"/>
      <protection locked="0"/>
    </xf>
    <xf numFmtId="164" fontId="3" fillId="0" borderId="10" xfId="0" applyNumberFormat="1" applyFont="1" applyBorder="1" applyAlignment="1" applyProtection="1">
      <alignment vertical="center" wrapText="1" readingOrder="1"/>
      <protection locked="0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0" fillId="0" borderId="7" xfId="0" applyFont="1" applyBorder="1" applyAlignment="1" applyProtection="1">
      <alignment horizontal="center" vertical="center" wrapText="1" readingOrder="1"/>
      <protection locked="0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9" xfId="0" applyFont="1" applyBorder="1" applyAlignment="1" applyProtection="1">
      <alignment horizontal="left" vertical="center" wrapText="1" readingOrder="1"/>
      <protection locked="0"/>
    </xf>
    <xf numFmtId="0" fontId="23" fillId="17" borderId="4" xfId="0" applyFont="1" applyFill="1" applyBorder="1" applyAlignment="1" applyProtection="1">
      <alignment horizontal="left" vertical="center" wrapText="1" indent="1" readingOrder="1"/>
      <protection locked="0"/>
    </xf>
    <xf numFmtId="0" fontId="23" fillId="17" borderId="4" xfId="0" applyFont="1" applyFill="1" applyBorder="1" applyAlignment="1" applyProtection="1">
      <alignment vertical="center" wrapText="1" readingOrder="1"/>
      <protection locked="0"/>
    </xf>
    <xf numFmtId="164" fontId="23" fillId="17" borderId="4" xfId="0" applyNumberFormat="1" applyFont="1" applyFill="1" applyBorder="1" applyAlignment="1" applyProtection="1">
      <alignment vertical="center" wrapText="1" readingOrder="1"/>
      <protection locked="0"/>
    </xf>
    <xf numFmtId="0" fontId="21" fillId="0" borderId="12" xfId="0" applyFont="1" applyBorder="1" applyAlignment="1">
      <alignment horizontal="left" vertical="center" indent="2"/>
    </xf>
    <xf numFmtId="0" fontId="21" fillId="0" borderId="12" xfId="0" applyFont="1" applyBorder="1" applyAlignment="1">
      <alignment vertical="center" wrapText="1"/>
    </xf>
    <xf numFmtId="4" fontId="22" fillId="0" borderId="12" xfId="0" applyNumberFormat="1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21" fillId="0" borderId="13" xfId="0" applyFont="1" applyBorder="1" applyAlignment="1">
      <alignment horizontal="left" vertical="center" indent="2"/>
    </xf>
    <xf numFmtId="0" fontId="21" fillId="0" borderId="13" xfId="0" applyFont="1" applyBorder="1" applyAlignment="1">
      <alignment vertical="center" wrapText="1"/>
    </xf>
    <xf numFmtId="4" fontId="22" fillId="0" borderId="13" xfId="0" applyNumberFormat="1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21" fillId="18" borderId="11" xfId="0" applyFont="1" applyFill="1" applyBorder="1" applyAlignment="1">
      <alignment horizontal="left" vertical="center" indent="2"/>
    </xf>
    <xf numFmtId="0" fontId="21" fillId="18" borderId="11" xfId="0" applyFont="1" applyFill="1" applyBorder="1" applyAlignment="1">
      <alignment vertical="center" wrapText="1"/>
    </xf>
    <xf numFmtId="4" fontId="22" fillId="18" borderId="11" xfId="0" applyNumberFormat="1" applyFont="1" applyFill="1" applyBorder="1" applyAlignment="1">
      <alignment vertical="center"/>
    </xf>
    <xf numFmtId="0" fontId="10" fillId="0" borderId="11" xfId="0" applyFont="1" applyBorder="1" applyAlignment="1" applyProtection="1">
      <alignment vertical="center" wrapText="1" readingOrder="1"/>
      <protection locked="0"/>
    </xf>
    <xf numFmtId="4" fontId="18" fillId="0" borderId="11" xfId="0" applyNumberFormat="1" applyFont="1" applyBorder="1" applyAlignment="1">
      <alignment vertical="center"/>
    </xf>
    <xf numFmtId="0" fontId="10" fillId="0" borderId="12" xfId="0" applyFont="1" applyBorder="1" applyAlignment="1" applyProtection="1">
      <alignment vertical="center" wrapText="1" readingOrder="1"/>
      <protection locked="0"/>
    </xf>
    <xf numFmtId="4" fontId="18" fillId="0" borderId="12" xfId="0" applyNumberFormat="1" applyFont="1" applyBorder="1" applyAlignment="1">
      <alignment vertical="center"/>
    </xf>
    <xf numFmtId="0" fontId="10" fillId="0" borderId="14" xfId="0" applyFont="1" applyBorder="1" applyAlignment="1" applyProtection="1">
      <alignment vertical="center" wrapText="1" readingOrder="1"/>
      <protection locked="0"/>
    </xf>
    <xf numFmtId="4" fontId="18" fillId="0" borderId="15" xfId="0" applyNumberFormat="1" applyFont="1" applyBorder="1" applyAlignment="1">
      <alignment vertical="center"/>
    </xf>
    <xf numFmtId="0" fontId="10" fillId="0" borderId="12" xfId="0" applyFont="1" applyBorder="1" applyAlignment="1" applyProtection="1">
      <alignment horizontal="left" vertical="center" wrapText="1" readingOrder="1"/>
      <protection locked="0"/>
    </xf>
    <xf numFmtId="4" fontId="18" fillId="0" borderId="13" xfId="0" applyNumberFormat="1" applyFont="1" applyBorder="1" applyAlignment="1">
      <alignment vertical="center"/>
    </xf>
    <xf numFmtId="0" fontId="10" fillId="0" borderId="12" xfId="0" applyFont="1" applyBorder="1" applyAlignment="1" applyProtection="1">
      <alignment horizontal="center" vertical="center" wrapText="1" readingOrder="1"/>
      <protection locked="0"/>
    </xf>
    <xf numFmtId="164" fontId="16" fillId="8" borderId="4" xfId="0" applyNumberFormat="1" applyFont="1" applyFill="1" applyBorder="1" applyAlignment="1" applyProtection="1">
      <alignment vertical="center" wrapText="1" readingOrder="1"/>
      <protection locked="0"/>
    </xf>
    <xf numFmtId="4" fontId="24" fillId="0" borderId="0" xfId="0" applyNumberFormat="1" applyFont="1" applyAlignment="1">
      <alignment vertical="center"/>
    </xf>
    <xf numFmtId="0" fontId="10" fillId="0" borderId="17" xfId="0" applyFont="1" applyBorder="1" applyAlignment="1" applyProtection="1">
      <alignment horizontal="center" vertical="center" wrapText="1" readingOrder="1"/>
      <protection locked="0"/>
    </xf>
    <xf numFmtId="0" fontId="10" fillId="0" borderId="17" xfId="0" applyFont="1" applyBorder="1" applyAlignment="1" applyProtection="1">
      <alignment vertical="center" wrapText="1" readingOrder="1"/>
      <protection locked="0"/>
    </xf>
    <xf numFmtId="4" fontId="18" fillId="0" borderId="17" xfId="0" applyNumberFormat="1" applyFont="1" applyBorder="1" applyAlignment="1">
      <alignment vertical="center"/>
    </xf>
    <xf numFmtId="0" fontId="10" fillId="0" borderId="18" xfId="0" applyFont="1" applyBorder="1" applyAlignment="1" applyProtection="1">
      <alignment horizontal="center" vertical="center" wrapText="1" readingOrder="1"/>
      <protection locked="0"/>
    </xf>
    <xf numFmtId="0" fontId="10" fillId="0" borderId="18" xfId="0" applyFont="1" applyBorder="1" applyAlignment="1" applyProtection="1">
      <alignment vertical="center" wrapText="1" readingOrder="1"/>
      <protection locked="0"/>
    </xf>
    <xf numFmtId="4" fontId="18" fillId="0" borderId="18" xfId="0" applyNumberFormat="1" applyFont="1" applyBorder="1" applyAlignment="1">
      <alignment vertical="center"/>
    </xf>
    <xf numFmtId="0" fontId="10" fillId="0" borderId="19" xfId="0" applyFont="1" applyBorder="1" applyAlignment="1" applyProtection="1">
      <alignment horizontal="center" vertical="center" wrapText="1" readingOrder="1"/>
      <protection locked="0"/>
    </xf>
    <xf numFmtId="0" fontId="10" fillId="0" borderId="19" xfId="0" applyFont="1" applyBorder="1" applyAlignment="1" applyProtection="1">
      <alignment vertical="center" wrapText="1" readingOrder="1"/>
      <protection locked="0"/>
    </xf>
    <xf numFmtId="4" fontId="18" fillId="0" borderId="19" xfId="0" applyNumberFormat="1" applyFont="1" applyBorder="1" applyAlignment="1">
      <alignment vertical="center"/>
    </xf>
    <xf numFmtId="0" fontId="5" fillId="8" borderId="4" xfId="0" applyFont="1" applyFill="1" applyBorder="1" applyAlignment="1" applyProtection="1">
      <alignment vertical="center" wrapText="1" readingOrder="1"/>
      <protection locked="0"/>
    </xf>
    <xf numFmtId="164" fontId="5" fillId="8" borderId="4" xfId="0" applyNumberFormat="1" applyFont="1" applyFill="1" applyBorder="1" applyAlignment="1" applyProtection="1">
      <alignment horizontal="center" vertical="center" wrapText="1" readingOrder="1"/>
      <protection locked="0"/>
    </xf>
    <xf numFmtId="164" fontId="5" fillId="8" borderId="6" xfId="0" applyNumberFormat="1" applyFont="1" applyFill="1" applyBorder="1" applyAlignment="1" applyProtection="1">
      <alignment vertical="center" wrapText="1" readingOrder="1"/>
      <protection locked="0"/>
    </xf>
    <xf numFmtId="0" fontId="6" fillId="0" borderId="0" xfId="1"/>
    <xf numFmtId="0" fontId="28" fillId="19" borderId="1" xfId="1" applyFont="1" applyFill="1" applyBorder="1" applyAlignment="1" applyProtection="1">
      <alignment horizontal="center" vertical="center" wrapText="1" readingOrder="1"/>
      <protection locked="0"/>
    </xf>
    <xf numFmtId="0" fontId="27" fillId="19" borderId="1" xfId="1" applyFont="1" applyFill="1" applyBorder="1" applyAlignment="1" applyProtection="1">
      <alignment horizontal="center" vertical="center" wrapText="1" readingOrder="1"/>
      <protection locked="0"/>
    </xf>
    <xf numFmtId="0" fontId="29" fillId="3" borderId="0" xfId="1" applyFont="1" applyFill="1" applyAlignment="1" applyProtection="1">
      <alignment vertical="center" wrapText="1" readingOrder="1"/>
      <protection locked="0"/>
    </xf>
    <xf numFmtId="164" fontId="29" fillId="3" borderId="0" xfId="1" applyNumberFormat="1" applyFont="1" applyFill="1" applyAlignment="1" applyProtection="1">
      <alignment horizontal="right" vertical="center" wrapText="1" readingOrder="1"/>
      <protection locked="0"/>
    </xf>
    <xf numFmtId="0" fontId="29" fillId="20" borderId="0" xfId="1" applyFont="1" applyFill="1" applyAlignment="1" applyProtection="1">
      <alignment vertical="center" wrapText="1" readingOrder="1"/>
      <protection locked="0"/>
    </xf>
    <xf numFmtId="164" fontId="29" fillId="20" borderId="0" xfId="1" applyNumberFormat="1" applyFont="1" applyFill="1" applyAlignment="1" applyProtection="1">
      <alignment horizontal="right" vertical="center" wrapText="1" readingOrder="1"/>
      <protection locked="0"/>
    </xf>
    <xf numFmtId="0" fontId="29" fillId="21" borderId="0" xfId="1" applyFont="1" applyFill="1" applyAlignment="1" applyProtection="1">
      <alignment vertical="center" wrapText="1" readingOrder="1"/>
      <protection locked="0"/>
    </xf>
    <xf numFmtId="164" fontId="29" fillId="21" borderId="0" xfId="1" applyNumberFormat="1" applyFont="1" applyFill="1" applyAlignment="1" applyProtection="1">
      <alignment horizontal="right" vertical="center" wrapText="1" readingOrder="1"/>
      <protection locked="0"/>
    </xf>
    <xf numFmtId="0" fontId="30" fillId="22" borderId="0" xfId="1" applyFont="1" applyFill="1" applyAlignment="1" applyProtection="1">
      <alignment vertical="center" wrapText="1" readingOrder="1"/>
      <protection locked="0"/>
    </xf>
    <xf numFmtId="164" fontId="30" fillId="22" borderId="0" xfId="1" applyNumberFormat="1" applyFont="1" applyFill="1" applyAlignment="1" applyProtection="1">
      <alignment horizontal="right" vertical="center" wrapText="1" readingOrder="1"/>
      <protection locked="0"/>
    </xf>
    <xf numFmtId="0" fontId="30" fillId="23" borderId="0" xfId="1" applyFont="1" applyFill="1" applyAlignment="1" applyProtection="1">
      <alignment horizontal="left" vertical="center" wrapText="1" readingOrder="1"/>
      <protection locked="0"/>
    </xf>
    <xf numFmtId="164" fontId="30" fillId="23" borderId="0" xfId="1" applyNumberFormat="1" applyFont="1" applyFill="1" applyAlignment="1" applyProtection="1">
      <alignment horizontal="right" vertical="center" wrapText="1" readingOrder="1"/>
      <protection locked="0"/>
    </xf>
    <xf numFmtId="0" fontId="30" fillId="23" borderId="0" xfId="1" applyFont="1" applyFill="1" applyAlignment="1" applyProtection="1">
      <alignment vertical="center" wrapText="1" readingOrder="1"/>
      <protection locked="0"/>
    </xf>
    <xf numFmtId="0" fontId="30" fillId="0" borderId="0" xfId="1" applyFont="1"/>
    <xf numFmtId="166" fontId="30" fillId="23" borderId="0" xfId="1" applyNumberFormat="1" applyFont="1" applyFill="1" applyAlignment="1" applyProtection="1">
      <alignment horizontal="right" vertical="center" wrapText="1" readingOrder="1"/>
      <protection locked="0"/>
    </xf>
    <xf numFmtId="164" fontId="31" fillId="22" borderId="0" xfId="2" applyNumberFormat="1" applyFont="1" applyFill="1" applyAlignment="1" applyProtection="1">
      <alignment horizontal="right" vertical="center" wrapText="1" readingOrder="1"/>
      <protection locked="0"/>
    </xf>
    <xf numFmtId="164" fontId="31" fillId="23" borderId="0" xfId="2" applyNumberFormat="1" applyFont="1" applyFill="1" applyAlignment="1" applyProtection="1">
      <alignment horizontal="right" vertical="center" wrapText="1" readingOrder="1"/>
      <protection locked="0"/>
    </xf>
    <xf numFmtId="0" fontId="30" fillId="25" borderId="0" xfId="1" applyFont="1" applyFill="1" applyAlignment="1" applyProtection="1">
      <alignment vertical="center" wrapText="1" readingOrder="1"/>
      <protection locked="0"/>
    </xf>
    <xf numFmtId="164" fontId="30" fillId="25" borderId="0" xfId="1" applyNumberFormat="1" applyFont="1" applyFill="1" applyAlignment="1" applyProtection="1">
      <alignment horizontal="right" vertical="center" wrapText="1" readingOrder="1"/>
      <protection locked="0"/>
    </xf>
    <xf numFmtId="4" fontId="6" fillId="0" borderId="0" xfId="1" applyNumberFormat="1"/>
    <xf numFmtId="166" fontId="6" fillId="0" borderId="0" xfId="1" applyNumberFormat="1"/>
    <xf numFmtId="4" fontId="30" fillId="0" borderId="0" xfId="1" applyNumberFormat="1" applyFont="1"/>
    <xf numFmtId="4" fontId="30" fillId="23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0" borderId="0" xfId="1" applyFont="1" applyAlignment="1" applyProtection="1">
      <alignment vertical="top" wrapText="1" readingOrder="1"/>
      <protection locked="0"/>
    </xf>
    <xf numFmtId="0" fontId="29" fillId="3" borderId="21" xfId="1" applyFont="1" applyFill="1" applyBorder="1" applyAlignment="1" applyProtection="1">
      <alignment vertical="center" wrapText="1" readingOrder="1"/>
      <protection locked="0"/>
    </xf>
    <xf numFmtId="14" fontId="30" fillId="0" borderId="0" xfId="1" applyNumberFormat="1" applyFont="1" applyAlignment="1">
      <alignment wrapText="1"/>
    </xf>
    <xf numFmtId="164" fontId="30" fillId="23" borderId="0" xfId="1" applyNumberFormat="1" applyFont="1" applyFill="1" applyAlignment="1" applyProtection="1">
      <alignment vertical="center" wrapText="1" readingOrder="1"/>
      <protection locked="0"/>
    </xf>
    <xf numFmtId="164" fontId="30" fillId="22" borderId="0" xfId="1" applyNumberFormat="1" applyFont="1" applyFill="1" applyAlignment="1" applyProtection="1">
      <alignment vertical="center" wrapText="1" readingOrder="1"/>
      <protection locked="0"/>
    </xf>
    <xf numFmtId="0" fontId="6" fillId="24" borderId="0" xfId="1" applyFill="1"/>
    <xf numFmtId="0" fontId="6" fillId="26" borderId="0" xfId="1" applyFill="1"/>
    <xf numFmtId="164" fontId="30" fillId="25" borderId="0" xfId="1" applyNumberFormat="1" applyFont="1" applyFill="1" applyAlignment="1" applyProtection="1">
      <alignment vertical="center" wrapText="1" readingOrder="1"/>
      <protection locked="0"/>
    </xf>
    <xf numFmtId="164" fontId="29" fillId="21" borderId="0" xfId="1" applyNumberFormat="1" applyFont="1" applyFill="1" applyAlignment="1" applyProtection="1">
      <alignment vertical="center" wrapText="1" readingOrder="1"/>
      <protection locked="0"/>
    </xf>
    <xf numFmtId="164" fontId="29" fillId="20" borderId="0" xfId="1" applyNumberFormat="1" applyFont="1" applyFill="1" applyAlignment="1" applyProtection="1">
      <alignment vertical="center" wrapText="1" readingOrder="1"/>
      <protection locked="0"/>
    </xf>
    <xf numFmtId="164" fontId="29" fillId="3" borderId="0" xfId="1" applyNumberFormat="1" applyFont="1" applyFill="1" applyAlignment="1" applyProtection="1">
      <alignment vertical="center" wrapText="1" readingOrder="1"/>
      <protection locked="0"/>
    </xf>
    <xf numFmtId="164" fontId="29" fillId="3" borderId="21" xfId="1" applyNumberFormat="1" applyFont="1" applyFill="1" applyBorder="1" applyAlignment="1" applyProtection="1">
      <alignment vertical="center" wrapText="1" readingOrder="1"/>
      <protection locked="0"/>
    </xf>
    <xf numFmtId="0" fontId="26" fillId="0" borderId="2" xfId="1" applyFont="1" applyBorder="1" applyAlignment="1" applyProtection="1">
      <alignment vertical="top" wrapText="1" readingOrder="1"/>
      <protection locked="0"/>
    </xf>
    <xf numFmtId="0" fontId="27" fillId="19" borderId="1" xfId="1" applyFont="1" applyFill="1" applyBorder="1" applyAlignment="1" applyProtection="1">
      <alignment vertical="center" wrapText="1" readingOrder="1"/>
      <protection locked="0"/>
    </xf>
    <xf numFmtId="0" fontId="26" fillId="0" borderId="0" xfId="1" applyFont="1" applyAlignment="1" applyProtection="1">
      <alignment vertical="top" wrapText="1" readingOrder="1"/>
      <protection locked="0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 wrapText="1"/>
    </xf>
    <xf numFmtId="0" fontId="19" fillId="0" borderId="0" xfId="1" applyFont="1" applyAlignment="1">
      <alignment vertical="center" wrapText="1"/>
    </xf>
    <xf numFmtId="0" fontId="10" fillId="0" borderId="7" xfId="1" applyFont="1" applyBorder="1" applyAlignment="1" applyProtection="1">
      <alignment horizontal="center" vertical="center" wrapText="1" readingOrder="1"/>
      <protection locked="0"/>
    </xf>
    <xf numFmtId="0" fontId="20" fillId="0" borderId="7" xfId="1" applyFont="1" applyBorder="1" applyAlignment="1" applyProtection="1">
      <alignment horizontal="center" vertical="center" wrapText="1" readingOrder="1"/>
      <protection locked="0"/>
    </xf>
    <xf numFmtId="0" fontId="5" fillId="8" borderId="6" xfId="1" applyFont="1" applyFill="1" applyBorder="1" applyAlignment="1" applyProtection="1">
      <alignment horizontal="center" vertical="center" wrapText="1" readingOrder="1"/>
      <protection locked="0"/>
    </xf>
    <xf numFmtId="164" fontId="5" fillId="8" borderId="4" xfId="1" applyNumberFormat="1" applyFont="1" applyFill="1" applyBorder="1" applyAlignment="1" applyProtection="1">
      <alignment vertical="center" wrapText="1" readingOrder="1"/>
      <protection locked="0"/>
    </xf>
    <xf numFmtId="0" fontId="23" fillId="17" borderId="4" xfId="1" applyFont="1" applyFill="1" applyBorder="1" applyAlignment="1" applyProtection="1">
      <alignment horizontal="left" vertical="center" wrapText="1" indent="1" readingOrder="1"/>
      <protection locked="0"/>
    </xf>
    <xf numFmtId="0" fontId="23" fillId="17" borderId="4" xfId="1" applyFont="1" applyFill="1" applyBorder="1" applyAlignment="1" applyProtection="1">
      <alignment vertical="center" wrapText="1" readingOrder="1"/>
      <protection locked="0"/>
    </xf>
    <xf numFmtId="164" fontId="23" fillId="17" borderId="4" xfId="1" applyNumberFormat="1" applyFont="1" applyFill="1" applyBorder="1" applyAlignment="1" applyProtection="1">
      <alignment vertical="center" wrapText="1" readingOrder="1"/>
      <protection locked="0"/>
    </xf>
    <xf numFmtId="164" fontId="16" fillId="8" borderId="4" xfId="1" applyNumberFormat="1" applyFont="1" applyFill="1" applyBorder="1" applyAlignment="1" applyProtection="1">
      <alignment vertical="center" wrapText="1" readingOrder="1"/>
      <protection locked="0"/>
    </xf>
    <xf numFmtId="0" fontId="6" fillId="0" borderId="0" xfId="0" applyFont="1" applyAlignment="1">
      <alignment horizontal="center" vertical="center"/>
    </xf>
    <xf numFmtId="0" fontId="32" fillId="0" borderId="0" xfId="0" applyFont="1" applyAlignment="1">
      <alignment horizontal="right" vertical="center" indent="1"/>
    </xf>
    <xf numFmtId="4" fontId="32" fillId="0" borderId="0" xfId="0" applyNumberFormat="1" applyFont="1" applyAlignment="1">
      <alignment vertical="center"/>
    </xf>
    <xf numFmtId="0" fontId="33" fillId="0" borderId="0" xfId="0" applyFont="1" applyAlignment="1">
      <alignment horizontal="right" vertical="center" indent="1"/>
    </xf>
    <xf numFmtId="4" fontId="33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164" fontId="34" fillId="0" borderId="9" xfId="0" applyNumberFormat="1" applyFont="1" applyBorder="1" applyAlignment="1" applyProtection="1">
      <alignment vertical="center" wrapText="1" readingOrder="1"/>
      <protection locked="0"/>
    </xf>
    <xf numFmtId="0" fontId="35" fillId="0" borderId="0" xfId="0" applyFont="1" applyAlignment="1">
      <alignment vertical="center"/>
    </xf>
    <xf numFmtId="166" fontId="35" fillId="0" borderId="0" xfId="0" applyNumberFormat="1" applyFont="1" applyAlignment="1">
      <alignment vertical="center"/>
    </xf>
    <xf numFmtId="164" fontId="3" fillId="12" borderId="9" xfId="0" applyNumberFormat="1" applyFont="1" applyFill="1" applyBorder="1" applyAlignment="1" applyProtection="1">
      <alignment vertical="center" wrapText="1" readingOrder="1"/>
      <protection locked="0"/>
    </xf>
    <xf numFmtId="164" fontId="17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11" fillId="18" borderId="0" xfId="0" applyFont="1" applyFill="1" applyAlignment="1">
      <alignment horizontal="center" vertical="center"/>
    </xf>
    <xf numFmtId="0" fontId="36" fillId="0" borderId="0" xfId="0" applyFont="1" applyAlignment="1">
      <alignment vertical="center"/>
    </xf>
    <xf numFmtId="4" fontId="11" fillId="18" borderId="0" xfId="0" applyNumberFormat="1" applyFont="1" applyFill="1" applyAlignment="1">
      <alignment horizontal="right" vertical="center"/>
    </xf>
    <xf numFmtId="0" fontId="11" fillId="27" borderId="22" xfId="0" applyFont="1" applyFill="1" applyBorder="1" applyAlignment="1">
      <alignment horizontal="center" vertical="center"/>
    </xf>
    <xf numFmtId="0" fontId="11" fillId="27" borderId="18" xfId="0" applyFont="1" applyFill="1" applyBorder="1" applyAlignment="1">
      <alignment horizontal="center" vertical="center"/>
    </xf>
    <xf numFmtId="0" fontId="11" fillId="27" borderId="23" xfId="0" applyFont="1" applyFill="1" applyBorder="1" applyAlignment="1">
      <alignment horizontal="center" vertical="center"/>
    </xf>
    <xf numFmtId="0" fontId="18" fillId="27" borderId="22" xfId="0" applyFont="1" applyFill="1" applyBorder="1" applyAlignment="1">
      <alignment vertical="center"/>
    </xf>
    <xf numFmtId="0" fontId="18" fillId="27" borderId="18" xfId="0" applyFont="1" applyFill="1" applyBorder="1" applyAlignment="1">
      <alignment vertical="center"/>
    </xf>
    <xf numFmtId="0" fontId="18" fillId="27" borderId="23" xfId="0" applyFont="1" applyFill="1" applyBorder="1" applyAlignment="1">
      <alignment vertical="center"/>
    </xf>
    <xf numFmtId="4" fontId="18" fillId="27" borderId="22" xfId="0" applyNumberFormat="1" applyFont="1" applyFill="1" applyBorder="1" applyAlignment="1">
      <alignment vertical="center"/>
    </xf>
    <xf numFmtId="4" fontId="18" fillId="27" borderId="18" xfId="0" applyNumberFormat="1" applyFont="1" applyFill="1" applyBorder="1" applyAlignment="1">
      <alignment vertical="center"/>
    </xf>
    <xf numFmtId="4" fontId="18" fillId="27" borderId="23" xfId="0" applyNumberFormat="1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1" applyAlignment="1">
      <alignment vertical="center"/>
    </xf>
    <xf numFmtId="0" fontId="3" fillId="0" borderId="9" xfId="0" quotePrefix="1" applyFont="1" applyBorder="1" applyAlignment="1" applyProtection="1">
      <alignment vertical="center" wrapText="1" readingOrder="1"/>
      <protection locked="0"/>
    </xf>
    <xf numFmtId="0" fontId="10" fillId="0" borderId="12" xfId="0" quotePrefix="1" applyFont="1" applyBorder="1" applyAlignment="1" applyProtection="1">
      <alignment vertical="center" wrapText="1" readingOrder="1"/>
      <protection locked="0"/>
    </xf>
    <xf numFmtId="0" fontId="10" fillId="0" borderId="11" xfId="0" quotePrefix="1" applyFont="1" applyBorder="1" applyAlignment="1" applyProtection="1">
      <alignment vertical="center" wrapText="1" readingOrder="1"/>
      <protection locked="0"/>
    </xf>
    <xf numFmtId="0" fontId="10" fillId="0" borderId="7" xfId="0" applyFont="1" applyBorder="1" applyAlignment="1" applyProtection="1">
      <alignment horizontal="center" vertical="center" wrapText="1" readingOrder="1"/>
      <protection locked="0"/>
    </xf>
    <xf numFmtId="0" fontId="4" fillId="11" borderId="0" xfId="0" applyFont="1" applyFill="1" applyAlignment="1" applyProtection="1">
      <alignment horizontal="left" vertical="center" wrapText="1" readingOrder="1"/>
      <protection locked="0"/>
    </xf>
    <xf numFmtId="0" fontId="11" fillId="0" borderId="0" xfId="0" applyFont="1" applyAlignment="1" applyProtection="1">
      <alignment horizontal="left" vertical="center" wrapText="1" indent="1" readingOrder="1"/>
      <protection locked="0"/>
    </xf>
    <xf numFmtId="0" fontId="5" fillId="8" borderId="5" xfId="0" applyFont="1" applyFill="1" applyBorder="1" applyAlignment="1" applyProtection="1">
      <alignment horizontal="left" vertical="center" wrapText="1" readingOrder="1"/>
      <protection locked="0"/>
    </xf>
    <xf numFmtId="0" fontId="5" fillId="10" borderId="4" xfId="0" applyFont="1" applyFill="1" applyBorder="1" applyAlignment="1" applyProtection="1">
      <alignment horizontal="left" vertical="center" wrapText="1" readingOrder="1"/>
      <protection locked="0"/>
    </xf>
    <xf numFmtId="0" fontId="5" fillId="9" borderId="4" xfId="0" applyFont="1" applyFill="1" applyBorder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5" fillId="8" borderId="0" xfId="0" applyFont="1" applyFill="1" applyAlignment="1" applyProtection="1">
      <alignment horizontal="left" vertical="center" wrapText="1" readingOrder="1"/>
      <protection locked="0"/>
    </xf>
    <xf numFmtId="0" fontId="11" fillId="0" borderId="0" xfId="0" applyFont="1" applyAlignment="1" applyProtection="1">
      <alignment horizontal="center" vertical="center" wrapText="1" readingOrder="1"/>
      <protection locked="0"/>
    </xf>
    <xf numFmtId="0" fontId="16" fillId="8" borderId="4" xfId="0" applyFont="1" applyFill="1" applyBorder="1" applyAlignment="1" applyProtection="1">
      <alignment horizontal="left" vertical="center" wrapText="1" readingOrder="1"/>
      <protection locked="0"/>
    </xf>
    <xf numFmtId="0" fontId="5" fillId="8" borderId="4" xfId="0" applyFont="1" applyFill="1" applyBorder="1" applyAlignment="1" applyProtection="1">
      <alignment horizontal="left" vertical="center" wrapText="1" readingOrder="1"/>
      <protection locked="0"/>
    </xf>
    <xf numFmtId="0" fontId="11" fillId="0" borderId="0" xfId="1" applyFont="1" applyAlignment="1" applyProtection="1">
      <alignment horizontal="left" vertical="center" wrapText="1" indent="1" readingOrder="1"/>
      <protection locked="0"/>
    </xf>
    <xf numFmtId="0" fontId="11" fillId="0" borderId="0" xfId="1" applyFont="1" applyAlignment="1" applyProtection="1">
      <alignment horizontal="center" vertical="center" wrapText="1" readingOrder="1"/>
      <protection locked="0"/>
    </xf>
    <xf numFmtId="0" fontId="5" fillId="8" borderId="4" xfId="1" applyFont="1" applyFill="1" applyBorder="1" applyAlignment="1" applyProtection="1">
      <alignment horizontal="left" vertical="center" wrapText="1" readingOrder="1"/>
      <protection locked="0"/>
    </xf>
    <xf numFmtId="0" fontId="16" fillId="8" borderId="4" xfId="1" applyFont="1" applyFill="1" applyBorder="1" applyAlignment="1" applyProtection="1">
      <alignment horizontal="left" vertical="center" wrapText="1" readingOrder="1"/>
      <protection locked="0"/>
    </xf>
    <xf numFmtId="0" fontId="15" fillId="16" borderId="0" xfId="0" applyFont="1" applyFill="1" applyAlignment="1" applyProtection="1">
      <alignment horizontal="left" vertical="center" wrapText="1" readingOrder="1"/>
      <protection locked="0"/>
    </xf>
    <xf numFmtId="0" fontId="25" fillId="0" borderId="16" xfId="0" applyFont="1" applyBorder="1" applyAlignment="1">
      <alignment horizontal="center" vertical="center"/>
    </xf>
    <xf numFmtId="164" fontId="5" fillId="8" borderId="20" xfId="0" applyNumberFormat="1" applyFont="1" applyFill="1" applyBorder="1" applyAlignment="1" applyProtection="1">
      <alignment horizontal="center" vertical="center" wrapText="1" readingOrder="1"/>
      <protection locked="0"/>
    </xf>
    <xf numFmtId="0" fontId="10" fillId="0" borderId="7" xfId="0" applyFont="1" applyBorder="1" applyAlignment="1" applyProtection="1">
      <alignment horizontal="center" vertical="center" wrapText="1" readingOrder="1"/>
      <protection locked="0"/>
    </xf>
    <xf numFmtId="164" fontId="5" fillId="8" borderId="4" xfId="0" applyNumberFormat="1" applyFont="1" applyFill="1" applyBorder="1" applyAlignment="1" applyProtection="1">
      <alignment horizontal="center" vertical="center" wrapText="1" readingOrder="1"/>
      <protection locked="0"/>
    </xf>
    <xf numFmtId="0" fontId="15" fillId="16" borderId="9" xfId="0" applyFont="1" applyFill="1" applyBorder="1" applyAlignment="1" applyProtection="1">
      <alignment horizontal="left" vertical="center" wrapText="1" readingOrder="1"/>
      <protection locked="0"/>
    </xf>
    <xf numFmtId="0" fontId="37" fillId="28" borderId="0" xfId="0" applyFont="1" applyFill="1" applyAlignment="1">
      <alignment horizontal="center" vertical="center" wrapText="1"/>
    </xf>
    <xf numFmtId="0" fontId="37" fillId="28" borderId="0" xfId="0" applyFont="1" applyFill="1" applyAlignment="1">
      <alignment horizontal="center" vertical="center"/>
    </xf>
    <xf numFmtId="0" fontId="37" fillId="28" borderId="16" xfId="0" applyFont="1" applyFill="1" applyBorder="1" applyAlignment="1">
      <alignment horizontal="center" vertical="center"/>
    </xf>
    <xf numFmtId="164" fontId="5" fillId="8" borderId="5" xfId="0" applyNumberFormat="1" applyFont="1" applyFill="1" applyBorder="1" applyAlignment="1" applyProtection="1">
      <alignment horizontal="right" vertical="center" wrapText="1" readingOrder="1"/>
      <protection locked="0"/>
    </xf>
    <xf numFmtId="164" fontId="5" fillId="8" borderId="6" xfId="0" applyNumberFormat="1" applyFont="1" applyFill="1" applyBorder="1" applyAlignment="1" applyProtection="1">
      <alignment horizontal="right" vertical="center" wrapText="1" readingOrder="1"/>
      <protection locked="0"/>
    </xf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6" fillId="0" borderId="0" xfId="1" applyAlignment="1">
      <alignment vertical="center"/>
    </xf>
    <xf numFmtId="0" fontId="1" fillId="0" borderId="0" xfId="0" applyFont="1" applyAlignment="1" applyProtection="1">
      <alignment horizontal="left" vertical="center" wrapText="1" indent="1" readingOrder="1"/>
      <protection locked="0"/>
    </xf>
    <xf numFmtId="0" fontId="4" fillId="2" borderId="0" xfId="0" applyFont="1" applyFill="1" applyAlignment="1" applyProtection="1">
      <alignment vertical="top" wrapText="1" readingOrder="1"/>
      <protection locked="0"/>
    </xf>
    <xf numFmtId="0" fontId="0" fillId="0" borderId="0" xfId="0"/>
    <xf numFmtId="0" fontId="5" fillId="3" borderId="0" xfId="0" applyFont="1" applyFill="1" applyAlignment="1" applyProtection="1">
      <alignment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</cellXfs>
  <cellStyles count="3">
    <cellStyle name="Normal 2" xfId="1"/>
    <cellStyle name="Normalno" xfId="0" builtinId="0"/>
    <cellStyle name="Normalno 2" xfId="2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00"/>
      <rgbColor rgb="00000080"/>
      <rgbColor rgb="00FFFFFF"/>
      <rgbColor rgb="00282894"/>
      <rgbColor rgb="003C3C9E"/>
      <rgbColor rgb="005050A8"/>
      <rgbColor rgb="006464B2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e&#353;imir/Documents/Raos/Zrinka/KGZ/God_2025/Zavr&#353;ni%20ra&#269;un/Marko_Sabljak/KNJI&#381;NICE%20GRADA%20ZAGREBA%20Financijski%20izvje&#353;taji%2031.12.2025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lan_Ostvarenje_2025_(1-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Uskla&#273;enje_20260630_ver_202607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e&#353;imir/Documents/Raos/Zrinka/KGZ/God_2025/Realizacija/Final/izvjesce%20(2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KGZ_Realizacija_2025_Finalno_31.12.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riveni"/>
      <sheetName val="Upute"/>
      <sheetName val="RefStr"/>
      <sheetName val="PR-RAS"/>
      <sheetName val="BILANCA"/>
      <sheetName val="RAS-funkcijski"/>
      <sheetName val="P-VRIO"/>
      <sheetName val="OBVEZE"/>
      <sheetName val="Kont"/>
      <sheetName val="Promjene"/>
    </sheetNames>
    <sheetDataSet>
      <sheetData sheetId="0"/>
      <sheetData sheetId="1"/>
      <sheetData sheetId="2"/>
      <sheetData sheetId="3">
        <row r="6">
          <cell r="A6">
            <v>6</v>
          </cell>
          <cell r="B6" t="str">
            <v>PRIHODI POSLOVANJA (šifre 61+62+63+64+65+66+67+68)</v>
          </cell>
          <cell r="C6" t="str">
            <v>6</v>
          </cell>
          <cell r="D6">
            <v>18527411.98</v>
          </cell>
          <cell r="E6">
            <v>22821257.859999999</v>
          </cell>
        </row>
        <row r="7">
          <cell r="A7">
            <v>61</v>
          </cell>
          <cell r="B7" t="str">
            <v>Prihodi od poreza (šifre 611+612+613+614+615+616)</v>
          </cell>
          <cell r="C7" t="str">
            <v>61</v>
          </cell>
          <cell r="D7">
            <v>0</v>
          </cell>
          <cell r="E7">
            <v>0</v>
          </cell>
        </row>
        <row r="8">
          <cell r="A8">
            <v>611</v>
          </cell>
          <cell r="B8" t="str">
            <v>Porez na dohodak (šifre 6111 do 6116 - 6117 - 6119)</v>
          </cell>
          <cell r="C8" t="str">
            <v>611</v>
          </cell>
          <cell r="D8">
            <v>0</v>
          </cell>
          <cell r="E8">
            <v>0</v>
          </cell>
        </row>
        <row r="9">
          <cell r="A9">
            <v>6111</v>
          </cell>
          <cell r="B9" t="str">
            <v>Porez na dohodak od nesamostalnog rada</v>
          </cell>
          <cell r="C9" t="str">
            <v>6111</v>
          </cell>
          <cell r="D9">
            <v>0</v>
          </cell>
          <cell r="E9">
            <v>0</v>
          </cell>
        </row>
        <row r="10">
          <cell r="A10">
            <v>6112</v>
          </cell>
          <cell r="B10" t="str">
            <v>Porez na dohodak od samostalnih djelatnosti</v>
          </cell>
          <cell r="C10" t="str">
            <v>6112</v>
          </cell>
          <cell r="D10">
            <v>0</v>
          </cell>
          <cell r="E10">
            <v>0</v>
          </cell>
        </row>
        <row r="11">
          <cell r="A11">
            <v>6113</v>
          </cell>
          <cell r="B11" t="str">
            <v>Porez na dohodak od imovine i imovinskih prava</v>
          </cell>
          <cell r="C11" t="str">
            <v>6113</v>
          </cell>
          <cell r="D11">
            <v>0</v>
          </cell>
          <cell r="E11">
            <v>0</v>
          </cell>
        </row>
        <row r="12">
          <cell r="A12">
            <v>6114</v>
          </cell>
          <cell r="B12" t="str">
            <v>Porez na dohodak od kapitala</v>
          </cell>
          <cell r="C12" t="str">
            <v>6114</v>
          </cell>
          <cell r="D12">
            <v>0</v>
          </cell>
          <cell r="E12">
            <v>0</v>
          </cell>
        </row>
        <row r="13">
          <cell r="A13">
            <v>6115</v>
          </cell>
          <cell r="B13" t="str">
            <v>Porez na dohodak po godišnjoj prijavi</v>
          </cell>
          <cell r="C13" t="str">
            <v>6115</v>
          </cell>
          <cell r="D13">
            <v>0</v>
          </cell>
          <cell r="E13">
            <v>0</v>
          </cell>
        </row>
        <row r="14">
          <cell r="A14">
            <v>6116</v>
          </cell>
          <cell r="B14" t="str">
            <v xml:space="preserve">Porez na dohodak utvrđen u postupku nadzora za prethodne godine </v>
          </cell>
          <cell r="C14" t="str">
            <v>6116</v>
          </cell>
          <cell r="D14">
            <v>0</v>
          </cell>
          <cell r="E14">
            <v>0</v>
          </cell>
        </row>
        <row r="15">
          <cell r="A15">
            <v>6117</v>
          </cell>
          <cell r="B15" t="str">
            <v>Povrat poreza na dohodak po godišnjoj prijavi</v>
          </cell>
          <cell r="C15" t="str">
            <v>6117</v>
          </cell>
          <cell r="D15">
            <v>0</v>
          </cell>
          <cell r="E15">
            <v>0</v>
          </cell>
        </row>
        <row r="16">
          <cell r="A16">
            <v>6119</v>
          </cell>
          <cell r="B16" t="str">
            <v>Povrat više ostvarenog poreza na dohodak za decentralizirane funkcije</v>
          </cell>
          <cell r="C16" t="str">
            <v>6119</v>
          </cell>
          <cell r="D16">
            <v>0</v>
          </cell>
          <cell r="E16">
            <v>0</v>
          </cell>
        </row>
        <row r="17">
          <cell r="A17">
            <v>612</v>
          </cell>
          <cell r="B17" t="str">
            <v>Porez na dobit (šifre 6121 do 6124 - 6125)</v>
          </cell>
          <cell r="C17" t="str">
            <v>612</v>
          </cell>
          <cell r="D17">
            <v>0</v>
          </cell>
          <cell r="E17">
            <v>0</v>
          </cell>
        </row>
        <row r="18">
          <cell r="A18">
            <v>6121</v>
          </cell>
          <cell r="B18" t="str">
            <v>Porez na dobit od poduzetnika</v>
          </cell>
          <cell r="C18" t="str">
            <v>6121</v>
          </cell>
          <cell r="D18">
            <v>0</v>
          </cell>
          <cell r="E18">
            <v>0</v>
          </cell>
        </row>
        <row r="19">
          <cell r="A19">
            <v>6122</v>
          </cell>
          <cell r="B19" t="str">
            <v>Porez na dobit po odbitku na naknade za korištenje prava i za usluge</v>
          </cell>
          <cell r="C19" t="str">
            <v>6122</v>
          </cell>
          <cell r="D19">
            <v>0</v>
          </cell>
          <cell r="E19">
            <v>0</v>
          </cell>
        </row>
        <row r="20">
          <cell r="A20">
            <v>6123</v>
          </cell>
          <cell r="B20" t="str">
            <v>Porez na dobit po odbitku na kamate, dividende i udjele u dobiti</v>
          </cell>
          <cell r="C20" t="str">
            <v>6123</v>
          </cell>
          <cell r="D20">
            <v>0</v>
          </cell>
          <cell r="E20">
            <v>0</v>
          </cell>
        </row>
        <row r="21">
          <cell r="A21">
            <v>6124</v>
          </cell>
          <cell r="B21" t="str">
            <v>Porez na dobit po godišnjoj prijavi</v>
          </cell>
          <cell r="C21" t="str">
            <v>6124</v>
          </cell>
          <cell r="D21">
            <v>0</v>
          </cell>
          <cell r="E21">
            <v>0</v>
          </cell>
        </row>
        <row r="22">
          <cell r="A22">
            <v>6125</v>
          </cell>
          <cell r="B22" t="str">
            <v>Povrat poreza na dobit po godišnjoj prijavi</v>
          </cell>
          <cell r="C22" t="str">
            <v>6125</v>
          </cell>
          <cell r="D22">
            <v>0</v>
          </cell>
          <cell r="E22">
            <v>0</v>
          </cell>
        </row>
        <row r="23">
          <cell r="A23">
            <v>613</v>
          </cell>
          <cell r="B23" t="str">
            <v>Porezi na imovinu (šifre 6131 do 6135)</v>
          </cell>
          <cell r="C23" t="str">
            <v>613</v>
          </cell>
          <cell r="D23">
            <v>0</v>
          </cell>
          <cell r="E23">
            <v>0</v>
          </cell>
        </row>
        <row r="24">
          <cell r="A24">
            <v>6131</v>
          </cell>
          <cell r="B24" t="str">
            <v>Stalni porezi na nepokretnu imovinu (zemlju, zgrade, kuće i ostalo)</v>
          </cell>
          <cell r="C24" t="str">
            <v>6131</v>
          </cell>
          <cell r="D24">
            <v>0</v>
          </cell>
          <cell r="E24">
            <v>0</v>
          </cell>
        </row>
        <row r="25">
          <cell r="A25">
            <v>6132</v>
          </cell>
          <cell r="B25" t="str">
            <v>Porez na nasljedstva i darove</v>
          </cell>
          <cell r="C25" t="str">
            <v>6132</v>
          </cell>
          <cell r="D25">
            <v>0</v>
          </cell>
          <cell r="E25">
            <v>0</v>
          </cell>
        </row>
        <row r="26">
          <cell r="A26">
            <v>6133</v>
          </cell>
          <cell r="B26" t="str">
            <v>Porez na kapitalne i financijske transakcije</v>
          </cell>
          <cell r="C26" t="str">
            <v>6133</v>
          </cell>
          <cell r="D26">
            <v>0</v>
          </cell>
          <cell r="E26">
            <v>0</v>
          </cell>
        </row>
        <row r="27">
          <cell r="A27">
            <v>6134</v>
          </cell>
          <cell r="B27" t="str">
            <v>Povremeni porezi na imovinu</v>
          </cell>
          <cell r="C27" t="str">
            <v>6134</v>
          </cell>
          <cell r="D27">
            <v>0</v>
          </cell>
          <cell r="E27">
            <v>0</v>
          </cell>
        </row>
        <row r="28">
          <cell r="A28">
            <v>6135</v>
          </cell>
          <cell r="B28" t="str">
            <v>Ostali stalni porezi na imovinu</v>
          </cell>
          <cell r="C28" t="str">
            <v>6135</v>
          </cell>
          <cell r="D28">
            <v>0</v>
          </cell>
          <cell r="E28">
            <v>0</v>
          </cell>
        </row>
        <row r="29">
          <cell r="A29">
            <v>614</v>
          </cell>
          <cell r="B29" t="str">
            <v xml:space="preserve">Porezi na robu i usluge (šifre 6141 do 6147) </v>
          </cell>
          <cell r="C29" t="str">
            <v>614</v>
          </cell>
          <cell r="D29">
            <v>0</v>
          </cell>
          <cell r="E29">
            <v>0</v>
          </cell>
        </row>
        <row r="30">
          <cell r="A30">
            <v>6141</v>
          </cell>
          <cell r="B30" t="str">
            <v>Porez na dodanu vrijednost</v>
          </cell>
          <cell r="C30" t="str">
            <v>6141</v>
          </cell>
          <cell r="D30">
            <v>0</v>
          </cell>
          <cell r="E30">
            <v>0</v>
          </cell>
        </row>
        <row r="31">
          <cell r="A31">
            <v>6142</v>
          </cell>
          <cell r="B31" t="str">
            <v>Porez na promet</v>
          </cell>
          <cell r="C31" t="str">
            <v>6142</v>
          </cell>
          <cell r="D31">
            <v>0</v>
          </cell>
          <cell r="E31">
            <v>0</v>
          </cell>
        </row>
        <row r="32">
          <cell r="A32">
            <v>6143</v>
          </cell>
          <cell r="B32" t="str">
            <v xml:space="preserve">Posebni porezi i trošarine </v>
          </cell>
          <cell r="C32" t="str">
            <v>6143</v>
          </cell>
          <cell r="D32">
            <v>0</v>
          </cell>
          <cell r="E32">
            <v>0</v>
          </cell>
        </row>
        <row r="33">
          <cell r="A33">
            <v>6145</v>
          </cell>
          <cell r="B33" t="str">
            <v>Porezi na korištenje dobara ili izvođenje aktivnosti</v>
          </cell>
          <cell r="C33" t="str">
            <v>6145</v>
          </cell>
          <cell r="D33">
            <v>0</v>
          </cell>
          <cell r="E33">
            <v>0</v>
          </cell>
        </row>
        <row r="34">
          <cell r="A34">
            <v>6146</v>
          </cell>
          <cell r="B34" t="str">
            <v>Ostali porezi na robu i usluge</v>
          </cell>
          <cell r="C34" t="str">
            <v>6146</v>
          </cell>
          <cell r="D34">
            <v>0</v>
          </cell>
          <cell r="E34">
            <v>0</v>
          </cell>
        </row>
        <row r="35">
          <cell r="A35">
            <v>6147</v>
          </cell>
          <cell r="B35" t="str">
            <v>Porez na dobitke od igara na sreću i ostali porezi od igara na sreću</v>
          </cell>
          <cell r="C35" t="str">
            <v>6147</v>
          </cell>
          <cell r="D35">
            <v>0</v>
          </cell>
          <cell r="E35">
            <v>0</v>
          </cell>
        </row>
        <row r="36">
          <cell r="A36">
            <v>615</v>
          </cell>
          <cell r="B36" t="str">
            <v>Porezi na međunarodnu trgovinu i transakcije (šifre 6151+6152)</v>
          </cell>
          <cell r="C36" t="str">
            <v>615</v>
          </cell>
          <cell r="D36">
            <v>0</v>
          </cell>
          <cell r="E36">
            <v>0</v>
          </cell>
        </row>
        <row r="37">
          <cell r="A37">
            <v>6151</v>
          </cell>
          <cell r="B37" t="str">
            <v>Carine i carinske pristojbe</v>
          </cell>
          <cell r="C37" t="str">
            <v>6151</v>
          </cell>
          <cell r="D37">
            <v>0</v>
          </cell>
          <cell r="E37">
            <v>0</v>
          </cell>
        </row>
        <row r="38">
          <cell r="A38">
            <v>6152</v>
          </cell>
          <cell r="B38" t="str">
            <v>Ostali porezi na međunarodnu trgovinu i transakcije</v>
          </cell>
          <cell r="C38" t="str">
            <v>6152</v>
          </cell>
          <cell r="D38">
            <v>0</v>
          </cell>
          <cell r="E38">
            <v>0</v>
          </cell>
        </row>
        <row r="39">
          <cell r="A39">
            <v>616</v>
          </cell>
          <cell r="B39" t="str">
            <v>Ostali prihodi od poreza (šifre 6161 do 6163)</v>
          </cell>
          <cell r="C39" t="str">
            <v>616</v>
          </cell>
          <cell r="D39">
            <v>0</v>
          </cell>
          <cell r="E39">
            <v>0</v>
          </cell>
        </row>
        <row r="40">
          <cell r="A40">
            <v>6161</v>
          </cell>
          <cell r="B40" t="str">
            <v>Ostali prihodi od poreza koje plaćaju pravne osobe</v>
          </cell>
          <cell r="C40" t="str">
            <v>6161</v>
          </cell>
          <cell r="D40">
            <v>0</v>
          </cell>
          <cell r="E40">
            <v>0</v>
          </cell>
        </row>
        <row r="41">
          <cell r="A41">
            <v>6162</v>
          </cell>
          <cell r="B41" t="str">
            <v>Ostali prihodi od poreza koje plaćaju fizičke osobe</v>
          </cell>
          <cell r="C41" t="str">
            <v>6162</v>
          </cell>
          <cell r="D41">
            <v>0</v>
          </cell>
          <cell r="E41">
            <v>0</v>
          </cell>
        </row>
        <row r="42">
          <cell r="A42">
            <v>6163</v>
          </cell>
          <cell r="B42" t="str">
            <v>Ostali neraspoređeni prihodi od poreza</v>
          </cell>
          <cell r="C42" t="str">
            <v>6163</v>
          </cell>
          <cell r="D42">
            <v>0</v>
          </cell>
          <cell r="E42">
            <v>0</v>
          </cell>
        </row>
        <row r="43">
          <cell r="A43">
            <v>62</v>
          </cell>
          <cell r="B43" t="str">
            <v>Doprinosi (šifre 621+622+623)</v>
          </cell>
          <cell r="C43" t="str">
            <v>62</v>
          </cell>
          <cell r="D43">
            <v>0</v>
          </cell>
          <cell r="E43">
            <v>0</v>
          </cell>
        </row>
        <row r="44">
          <cell r="A44">
            <v>621</v>
          </cell>
          <cell r="B44" t="str">
            <v xml:space="preserve">Doprinosi za zdravstveno osiguranje (šifre 6211+6212) </v>
          </cell>
          <cell r="C44" t="str">
            <v>621</v>
          </cell>
          <cell r="D44">
            <v>0</v>
          </cell>
          <cell r="E44">
            <v>0</v>
          </cell>
        </row>
        <row r="45">
          <cell r="A45">
            <v>6211</v>
          </cell>
          <cell r="B45" t="str">
            <v xml:space="preserve">Doprinosi za obvezno zdravstveno osiguranje </v>
          </cell>
          <cell r="C45" t="str">
            <v>6211</v>
          </cell>
          <cell r="D45">
            <v>0</v>
          </cell>
          <cell r="E45">
            <v>0</v>
          </cell>
        </row>
        <row r="46">
          <cell r="A46">
            <v>6212</v>
          </cell>
          <cell r="B46" t="str">
            <v>Doprinosi za obvezno zdravstveno osiguranje za slučaj ozljede na radu</v>
          </cell>
          <cell r="C46" t="str">
            <v>6212</v>
          </cell>
          <cell r="D46">
            <v>0</v>
          </cell>
          <cell r="E46">
            <v>0</v>
          </cell>
        </row>
        <row r="47">
          <cell r="A47">
            <v>622</v>
          </cell>
          <cell r="B47" t="str">
            <v>Doprinosi za mirovinsko osiguranje</v>
          </cell>
          <cell r="C47" t="str">
            <v>622</v>
          </cell>
          <cell r="D47">
            <v>0</v>
          </cell>
          <cell r="E47">
            <v>0</v>
          </cell>
        </row>
        <row r="48">
          <cell r="A48">
            <v>623</v>
          </cell>
          <cell r="B48" t="str">
            <v>Doprinosi za zapošljavanje</v>
          </cell>
          <cell r="C48" t="str">
            <v>623</v>
          </cell>
          <cell r="D48">
            <v>0</v>
          </cell>
          <cell r="E48">
            <v>0</v>
          </cell>
        </row>
        <row r="49">
          <cell r="A49">
            <v>63</v>
          </cell>
          <cell r="B49" t="str">
            <v>Pomoći iz inozemstva i od subjekata unutar općeg proračuna (šifre 631+632+633+634+635+636+637+638+639)</v>
          </cell>
          <cell r="C49" t="str">
            <v>63</v>
          </cell>
          <cell r="D49">
            <v>1317552.03</v>
          </cell>
          <cell r="E49">
            <v>1611987.68</v>
          </cell>
        </row>
        <row r="50">
          <cell r="A50">
            <v>631</v>
          </cell>
          <cell r="B50" t="str">
            <v>Pomoći od inozemnih vlada (šifre 6311+6312)</v>
          </cell>
          <cell r="C50" t="str">
            <v>631</v>
          </cell>
          <cell r="D50">
            <v>0</v>
          </cell>
          <cell r="E50">
            <v>0</v>
          </cell>
        </row>
        <row r="51">
          <cell r="A51">
            <v>6311</v>
          </cell>
          <cell r="B51" t="str">
            <v>Tekuće pomoći od inozemnih vlada</v>
          </cell>
          <cell r="C51" t="str">
            <v>6311</v>
          </cell>
          <cell r="D51">
            <v>0</v>
          </cell>
          <cell r="E51">
            <v>0</v>
          </cell>
        </row>
        <row r="52">
          <cell r="A52">
            <v>6312</v>
          </cell>
          <cell r="B52" t="str">
            <v>Kapitalne pomoći od inozemnih vlada</v>
          </cell>
          <cell r="C52" t="str">
            <v>6312</v>
          </cell>
          <cell r="D52">
            <v>0</v>
          </cell>
          <cell r="E52">
            <v>0</v>
          </cell>
        </row>
        <row r="53">
          <cell r="A53">
            <v>632</v>
          </cell>
          <cell r="B53" t="str">
            <v>Pomoći od međunarodnih organizacija te institucija i tijela EU (šifre 6321 do 6324)</v>
          </cell>
          <cell r="C53" t="str">
            <v>632</v>
          </cell>
          <cell r="D53">
            <v>3816.96</v>
          </cell>
          <cell r="E53">
            <v>8500</v>
          </cell>
        </row>
        <row r="54">
          <cell r="A54">
            <v>6321</v>
          </cell>
          <cell r="B54" t="str">
            <v>Tekuće pomoći od međunarodnih organizacija</v>
          </cell>
          <cell r="C54" t="str">
            <v>6321</v>
          </cell>
          <cell r="D54">
            <v>3816.96</v>
          </cell>
          <cell r="E54">
            <v>8500</v>
          </cell>
        </row>
        <row r="55">
          <cell r="A55">
            <v>6322</v>
          </cell>
          <cell r="B55" t="str">
            <v>Kapitalne pomoći od međunarodnih organizacija</v>
          </cell>
          <cell r="C55" t="str">
            <v>6322</v>
          </cell>
          <cell r="D55">
            <v>0</v>
          </cell>
          <cell r="E55">
            <v>0</v>
          </cell>
        </row>
        <row r="56">
          <cell r="A56">
            <v>6323</v>
          </cell>
          <cell r="B56" t="str">
            <v>Tekuće pomoći od institucija i tijela EU</v>
          </cell>
          <cell r="C56" t="str">
            <v>6323</v>
          </cell>
          <cell r="D56">
            <v>0</v>
          </cell>
          <cell r="E56">
            <v>0</v>
          </cell>
        </row>
        <row r="57">
          <cell r="A57">
            <v>6324</v>
          </cell>
          <cell r="B57" t="str">
            <v>Kapitalne pomoći od institucija i tijela EU</v>
          </cell>
          <cell r="C57" t="str">
            <v>6324</v>
          </cell>
          <cell r="D57">
            <v>0</v>
          </cell>
          <cell r="E57">
            <v>0</v>
          </cell>
        </row>
        <row r="58">
          <cell r="A58">
            <v>633</v>
          </cell>
          <cell r="B58" t="str">
            <v>Pomoći proračunu i izvanproračunskim korisnicima iz drugih proračuna (šifre 6331+6332)</v>
          </cell>
          <cell r="C58" t="str">
            <v>633</v>
          </cell>
          <cell r="D58">
            <v>0</v>
          </cell>
          <cell r="E58">
            <v>0</v>
          </cell>
        </row>
        <row r="59">
          <cell r="A59">
            <v>6331</v>
          </cell>
          <cell r="B59" t="str">
            <v>Tekuće pomoći proračunu i izvanproračunskim korisnicima iz drugih proračuna</v>
          </cell>
          <cell r="C59" t="str">
            <v>6331</v>
          </cell>
          <cell r="D59">
            <v>0</v>
          </cell>
          <cell r="E59">
            <v>0</v>
          </cell>
        </row>
        <row r="60">
          <cell r="A60">
            <v>6332</v>
          </cell>
          <cell r="B60" t="str">
            <v>Kapitalne pomoći proračunu i izvanproračunskim korisnicima iz drugih proračuna</v>
          </cell>
          <cell r="C60" t="str">
            <v>6332</v>
          </cell>
          <cell r="D60">
            <v>0</v>
          </cell>
          <cell r="E60">
            <v>0</v>
          </cell>
        </row>
        <row r="61">
          <cell r="A61">
            <v>634</v>
          </cell>
          <cell r="B61" t="str">
            <v>Pomoći od izvanproračunskih korisnika (šifre 6341+6342)</v>
          </cell>
          <cell r="C61" t="str">
            <v>634</v>
          </cell>
          <cell r="D61">
            <v>0</v>
          </cell>
          <cell r="E61">
            <v>0</v>
          </cell>
        </row>
        <row r="62">
          <cell r="A62">
            <v>6341</v>
          </cell>
          <cell r="B62" t="str">
            <v>Tekuće pomoći od izvanproračunskih korisnika</v>
          </cell>
          <cell r="C62" t="str">
            <v>6341</v>
          </cell>
          <cell r="D62">
            <v>0</v>
          </cell>
          <cell r="E62">
            <v>0</v>
          </cell>
        </row>
        <row r="63">
          <cell r="A63">
            <v>6342</v>
          </cell>
          <cell r="B63" t="str">
            <v xml:space="preserve">Kapitalne pomoći od izvanproračunskih korisnika </v>
          </cell>
          <cell r="C63" t="str">
            <v>6342</v>
          </cell>
          <cell r="D63">
            <v>0</v>
          </cell>
          <cell r="E63">
            <v>0</v>
          </cell>
        </row>
        <row r="64">
          <cell r="A64">
            <v>635</v>
          </cell>
          <cell r="B64" t="str">
            <v>Pomoći izravnanja za decentralizirane funkcije i fiskalnog izravnanja (šifre 6351 do 6353)</v>
          </cell>
          <cell r="C64" t="str">
            <v>635</v>
          </cell>
          <cell r="D64">
            <v>0</v>
          </cell>
          <cell r="E64">
            <v>0</v>
          </cell>
        </row>
        <row r="65">
          <cell r="A65">
            <v>6351</v>
          </cell>
          <cell r="B65" t="str">
            <v>Tekuće pomoći izravnanja za decentralizirane funkcije</v>
          </cell>
          <cell r="C65" t="str">
            <v>6351</v>
          </cell>
          <cell r="D65">
            <v>0</v>
          </cell>
          <cell r="E65">
            <v>0</v>
          </cell>
        </row>
        <row r="66">
          <cell r="A66">
            <v>6352</v>
          </cell>
          <cell r="B66" t="str">
            <v>Kapitalne pomoći izravnanja za decentralizirane funkcije</v>
          </cell>
          <cell r="C66" t="str">
            <v>6352</v>
          </cell>
          <cell r="D66">
            <v>0</v>
          </cell>
          <cell r="E66">
            <v>0</v>
          </cell>
        </row>
        <row r="67">
          <cell r="A67" t="str">
            <v>6353</v>
          </cell>
          <cell r="B67" t="str">
            <v>Pomoći fiskalnog izravnanja</v>
          </cell>
          <cell r="C67" t="str">
            <v>6353</v>
          </cell>
          <cell r="D67">
            <v>0</v>
          </cell>
          <cell r="E67">
            <v>0</v>
          </cell>
        </row>
        <row r="68">
          <cell r="A68" t="str">
            <v>636</v>
          </cell>
          <cell r="B68" t="str">
            <v>Pomoći proračunskim korisnicima iz proračuna koji im nije nadležan (šifre 6361+6362)</v>
          </cell>
          <cell r="C68" t="str">
            <v>636</v>
          </cell>
          <cell r="D68">
            <v>1280996.07</v>
          </cell>
          <cell r="E68">
            <v>1603143.24</v>
          </cell>
        </row>
        <row r="69">
          <cell r="A69" t="str">
            <v>6361</v>
          </cell>
          <cell r="B69" t="str">
            <v>Tekuće pomoći proračunskim korisnicima iz proračuna koji im nije nadležan</v>
          </cell>
          <cell r="C69" t="str">
            <v>6361</v>
          </cell>
          <cell r="D69">
            <v>730309.56</v>
          </cell>
          <cell r="E69">
            <v>908370.29</v>
          </cell>
        </row>
        <row r="70">
          <cell r="A70" t="str">
            <v>6362</v>
          </cell>
          <cell r="B70" t="str">
            <v>Kapitalne pomoći proračunskim korisnicima iz proračuna koji im nije nadležan</v>
          </cell>
          <cell r="C70" t="str">
            <v>6362</v>
          </cell>
          <cell r="D70">
            <v>550686.51</v>
          </cell>
          <cell r="E70">
            <v>694772.95</v>
          </cell>
        </row>
        <row r="71">
          <cell r="A71" t="str">
            <v>637</v>
          </cell>
          <cell r="B71" t="str">
            <v>Pomoći iz drugih proračuna i od izvanproračunskih korisnika temeljem protestiranih jamstava (šifra 6371+6372)</v>
          </cell>
          <cell r="C71" t="str">
            <v>637</v>
          </cell>
          <cell r="D71">
            <v>0</v>
          </cell>
          <cell r="E71">
            <v>0</v>
          </cell>
        </row>
        <row r="72">
          <cell r="A72" t="str">
            <v>6371</v>
          </cell>
          <cell r="B72" t="str">
            <v>Pomoći primljene iz drugih proračuna i od izvanproračunskih korisnika po protestiranim jamstvima</v>
          </cell>
          <cell r="C72" t="str">
            <v>6371</v>
          </cell>
          <cell r="D72">
            <v>0</v>
          </cell>
          <cell r="E72">
            <v>0</v>
          </cell>
        </row>
        <row r="73">
          <cell r="A73" t="str">
            <v>6372</v>
          </cell>
          <cell r="B73" t="str">
            <v>Povrat pomoći danih drugim proračunima i izvanproračunskim korisnicima po protestiranim jamstvima</v>
          </cell>
          <cell r="C73" t="str">
            <v>6372</v>
          </cell>
          <cell r="D73">
            <v>0</v>
          </cell>
          <cell r="E73">
            <v>0</v>
          </cell>
        </row>
        <row r="74">
          <cell r="A74" t="str">
            <v>638</v>
          </cell>
          <cell r="B74" t="str">
            <v>Pomoći temeljem prijenosa EU sredstava (šifre 6381+6382)</v>
          </cell>
          <cell r="C74" t="str">
            <v>638</v>
          </cell>
          <cell r="D74">
            <v>32739</v>
          </cell>
          <cell r="E74">
            <v>344.44</v>
          </cell>
        </row>
        <row r="75">
          <cell r="A75" t="str">
            <v>6381</v>
          </cell>
          <cell r="B75" t="str">
            <v>Tekuće pomoći temeljem prijenosa EU sredstava</v>
          </cell>
          <cell r="C75" t="str">
            <v>6381</v>
          </cell>
          <cell r="D75">
            <v>32739</v>
          </cell>
          <cell r="E75">
            <v>344.44</v>
          </cell>
        </row>
        <row r="76">
          <cell r="A76" t="str">
            <v>6382</v>
          </cell>
          <cell r="B76" t="str">
            <v>Kapitalne pomoći temeljem prijenosa EU sredstava</v>
          </cell>
          <cell r="C76" t="str">
            <v>6382</v>
          </cell>
          <cell r="D76">
            <v>0</v>
          </cell>
          <cell r="E76">
            <v>0</v>
          </cell>
        </row>
        <row r="77">
          <cell r="A77" t="str">
            <v>639</v>
          </cell>
          <cell r="B77" t="str">
            <v>Prijenosi između proračunskih korisnika istog proračuna (šifre 6391 do 6394)</v>
          </cell>
          <cell r="C77" t="str">
            <v>639</v>
          </cell>
          <cell r="D77">
            <v>0</v>
          </cell>
          <cell r="E77">
            <v>0</v>
          </cell>
        </row>
        <row r="78">
          <cell r="A78">
            <v>6391</v>
          </cell>
          <cell r="B78" t="str">
            <v>Tekući prijenosi između proračunskih korisnika istog proračuna</v>
          </cell>
          <cell r="C78" t="str">
            <v>6391</v>
          </cell>
          <cell r="D78">
            <v>0</v>
          </cell>
          <cell r="E78">
            <v>0</v>
          </cell>
        </row>
        <row r="79">
          <cell r="A79">
            <v>6392</v>
          </cell>
          <cell r="B79" t="str">
            <v>Kapitalni prijenosi između proračunskih korisnika istog proračuna</v>
          </cell>
          <cell r="C79" t="str">
            <v>6392</v>
          </cell>
          <cell r="D79">
            <v>0</v>
          </cell>
          <cell r="E79">
            <v>0</v>
          </cell>
        </row>
        <row r="80">
          <cell r="A80">
            <v>6393</v>
          </cell>
          <cell r="B80" t="str">
            <v>Tekući prijenosi između proračunskih korisnika istog proračuna temeljem prijenosa EU sredstava</v>
          </cell>
          <cell r="C80" t="str">
            <v>6393</v>
          </cell>
          <cell r="D80">
            <v>0</v>
          </cell>
          <cell r="E80">
            <v>0</v>
          </cell>
        </row>
        <row r="81">
          <cell r="A81">
            <v>6394</v>
          </cell>
          <cell r="B81" t="str">
            <v>Kapitalni prijenosi između proračunskih korisnika istog proračuna temeljem prijenosa EU sredstava</v>
          </cell>
          <cell r="C81" t="str">
            <v>6394</v>
          </cell>
          <cell r="D81">
            <v>0</v>
          </cell>
          <cell r="E81">
            <v>0</v>
          </cell>
        </row>
        <row r="82">
          <cell r="A82">
            <v>64</v>
          </cell>
          <cell r="B82" t="str">
            <v>Prihodi od imovine (šifre 641+642+643)</v>
          </cell>
          <cell r="C82" t="str">
            <v>64</v>
          </cell>
          <cell r="D82">
            <v>9582.7999999999993</v>
          </cell>
          <cell r="E82">
            <v>9583.1200000000008</v>
          </cell>
        </row>
        <row r="83">
          <cell r="A83">
            <v>641</v>
          </cell>
          <cell r="B83" t="str">
            <v xml:space="preserve">Prihodi od financijske imovine (šifre 6412 do 6419) </v>
          </cell>
          <cell r="C83" t="str">
            <v>641</v>
          </cell>
          <cell r="D83">
            <v>9582.7999999999993</v>
          </cell>
          <cell r="E83">
            <v>9583.1200000000008</v>
          </cell>
        </row>
        <row r="84">
          <cell r="A84">
            <v>6412</v>
          </cell>
          <cell r="B84" t="str">
            <v>Prihodi od kamata po vrijednosnim papirima</v>
          </cell>
          <cell r="C84" t="str">
            <v>6412</v>
          </cell>
          <cell r="D84">
            <v>0</v>
          </cell>
          <cell r="E84">
            <v>0</v>
          </cell>
        </row>
        <row r="85">
          <cell r="A85">
            <v>6413</v>
          </cell>
          <cell r="B85" t="str">
            <v>Kamate na oročena sredstva i depozite po viđenju</v>
          </cell>
          <cell r="C85" t="str">
            <v>6413</v>
          </cell>
          <cell r="D85">
            <v>6.8</v>
          </cell>
          <cell r="E85">
            <v>7.12</v>
          </cell>
        </row>
        <row r="86">
          <cell r="A86">
            <v>6414</v>
          </cell>
          <cell r="B86" t="str">
            <v xml:space="preserve">Prihodi od zateznih kamata </v>
          </cell>
          <cell r="C86" t="str">
            <v>6414</v>
          </cell>
          <cell r="D86">
            <v>0</v>
          </cell>
          <cell r="E86">
            <v>0</v>
          </cell>
        </row>
        <row r="87">
          <cell r="A87">
            <v>6415</v>
          </cell>
          <cell r="B87" t="str">
            <v>Prihodi od pozitivnih tečajnih razlika i razlika zbog primjene valutne klauzule</v>
          </cell>
          <cell r="C87" t="str">
            <v>6415</v>
          </cell>
          <cell r="D87">
            <v>0</v>
          </cell>
          <cell r="E87">
            <v>0</v>
          </cell>
        </row>
        <row r="88">
          <cell r="A88">
            <v>6416</v>
          </cell>
          <cell r="B88" t="str">
            <v>Prihodi od dividendi</v>
          </cell>
          <cell r="C88" t="str">
            <v>6416</v>
          </cell>
          <cell r="D88">
            <v>9576</v>
          </cell>
          <cell r="E88">
            <v>9576</v>
          </cell>
        </row>
        <row r="89">
          <cell r="A89">
            <v>6417</v>
          </cell>
          <cell r="B89" t="str">
            <v>Prihodi iz dobiti trgovačkih društava, kreditnih i ostalih financijskih institucija po posebnim propisima</v>
          </cell>
          <cell r="C89" t="str">
            <v>6417</v>
          </cell>
          <cell r="D89">
            <v>0</v>
          </cell>
          <cell r="E89">
            <v>0</v>
          </cell>
        </row>
        <row r="90">
          <cell r="A90">
            <v>6419</v>
          </cell>
          <cell r="B90" t="str">
            <v>Ostali prihodi od financijske imovine</v>
          </cell>
          <cell r="C90" t="str">
            <v>6419</v>
          </cell>
          <cell r="D90">
            <v>0</v>
          </cell>
          <cell r="E90">
            <v>0</v>
          </cell>
        </row>
        <row r="91">
          <cell r="A91">
            <v>642</v>
          </cell>
          <cell r="B91" t="str">
            <v>Prihodi od nefinancijske imovine (šifre 6421 do 6429)</v>
          </cell>
          <cell r="C91" t="str">
            <v>642</v>
          </cell>
          <cell r="D91">
            <v>0</v>
          </cell>
          <cell r="E91">
            <v>0</v>
          </cell>
        </row>
        <row r="92">
          <cell r="A92">
            <v>6421</v>
          </cell>
          <cell r="B92" t="str">
            <v>Naknade za koncesije</v>
          </cell>
          <cell r="C92" t="str">
            <v>6421</v>
          </cell>
          <cell r="D92">
            <v>0</v>
          </cell>
          <cell r="E92">
            <v>0</v>
          </cell>
        </row>
        <row r="93">
          <cell r="A93">
            <v>6422</v>
          </cell>
          <cell r="B93" t="str">
            <v>Prihodi od zakupa i iznajmljivanja imovine</v>
          </cell>
          <cell r="C93" t="str">
            <v>6422</v>
          </cell>
          <cell r="D93">
            <v>0</v>
          </cell>
          <cell r="E93">
            <v>0</v>
          </cell>
        </row>
        <row r="94">
          <cell r="A94">
            <v>6423</v>
          </cell>
          <cell r="B94" t="str">
            <v>Naknada za korištenje nefinancijske imovine</v>
          </cell>
          <cell r="C94" t="str">
            <v>6423</v>
          </cell>
          <cell r="D94">
            <v>0</v>
          </cell>
          <cell r="E94">
            <v>0</v>
          </cell>
        </row>
        <row r="95">
          <cell r="A95">
            <v>6424</v>
          </cell>
          <cell r="B95" t="str">
            <v>Naknade za ceste</v>
          </cell>
          <cell r="C95" t="str">
            <v>6424</v>
          </cell>
          <cell r="D95">
            <v>0</v>
          </cell>
          <cell r="E95">
            <v>0</v>
          </cell>
        </row>
        <row r="96">
          <cell r="A96" t="str">
            <v>6425</v>
          </cell>
          <cell r="B96" t="str">
            <v>Prihodi od prodaje kratkotrajne nefinancijske imovine, sitnog inventara i autoguma</v>
          </cell>
          <cell r="C96" t="str">
            <v>6425</v>
          </cell>
          <cell r="D96">
            <v>0</v>
          </cell>
          <cell r="E96">
            <v>0</v>
          </cell>
        </row>
        <row r="97">
          <cell r="A97">
            <v>6429</v>
          </cell>
          <cell r="B97" t="str">
            <v>Ostali prihodi od nefinancijske imovine</v>
          </cell>
          <cell r="C97" t="str">
            <v>6429</v>
          </cell>
          <cell r="D97">
            <v>0</v>
          </cell>
          <cell r="E97">
            <v>0</v>
          </cell>
        </row>
        <row r="98">
          <cell r="A98">
            <v>643</v>
          </cell>
          <cell r="B98" t="str">
            <v>Prihodi od kamata na dane zajmove (šifre 6431 do 6437)</v>
          </cell>
          <cell r="C98" t="str">
            <v>643</v>
          </cell>
          <cell r="D98">
            <v>0</v>
          </cell>
          <cell r="E98">
            <v>0</v>
          </cell>
        </row>
        <row r="99">
          <cell r="A99">
            <v>6431</v>
          </cell>
          <cell r="B99" t="str">
            <v>Prihodi od kamata na dane zajmove međunarodnim organizacijama, institucijama i tijelima EU te inozemnim vladama</v>
          </cell>
          <cell r="C99" t="str">
            <v>6431</v>
          </cell>
          <cell r="D99">
            <v>0</v>
          </cell>
          <cell r="E99">
            <v>0</v>
          </cell>
        </row>
        <row r="100">
          <cell r="A100">
            <v>6432</v>
          </cell>
          <cell r="B100" t="str">
            <v>Prihodi od kamata na dane zajmove neprofitnim organizacijama, građanima i kućanstvima</v>
          </cell>
          <cell r="C100" t="str">
            <v>6432</v>
          </cell>
          <cell r="D100">
            <v>0</v>
          </cell>
          <cell r="E100">
            <v>0</v>
          </cell>
        </row>
        <row r="101">
          <cell r="A101">
            <v>6433</v>
          </cell>
          <cell r="B101" t="str">
            <v>Prihodi od kamata na dane zajmove kreditnim i ostalim financijskim institucijama u javnom sektoru</v>
          </cell>
          <cell r="C101" t="str">
            <v>6433</v>
          </cell>
          <cell r="D101">
            <v>0</v>
          </cell>
          <cell r="E101">
            <v>0</v>
          </cell>
        </row>
        <row r="102">
          <cell r="A102">
            <v>6434</v>
          </cell>
          <cell r="B102" t="str">
            <v>Prihodi od kamata na dane zajmove trgovačkim društvima u javnom sektoru</v>
          </cell>
          <cell r="C102" t="str">
            <v>6434</v>
          </cell>
          <cell r="D102">
            <v>0</v>
          </cell>
          <cell r="E102">
            <v>0</v>
          </cell>
        </row>
        <row r="103">
          <cell r="A103">
            <v>6435</v>
          </cell>
          <cell r="B103" t="str">
            <v>Prihodi od kamata na dane zajmove kreditnim i ostalim financijskim institucijama izvan javnog sektora</v>
          </cell>
          <cell r="C103" t="str">
            <v>6435</v>
          </cell>
          <cell r="D103">
            <v>0</v>
          </cell>
          <cell r="E103">
            <v>0</v>
          </cell>
        </row>
        <row r="104">
          <cell r="A104">
            <v>6436</v>
          </cell>
          <cell r="B104" t="str">
            <v>Prihodi od kamata na dane zajmove trgovačkim društvima i obrtnicima izvan javnog sektora</v>
          </cell>
          <cell r="C104" t="str">
            <v>6436</v>
          </cell>
          <cell r="D104">
            <v>0</v>
          </cell>
          <cell r="E104">
            <v>0</v>
          </cell>
        </row>
        <row r="105">
          <cell r="A105">
            <v>6437</v>
          </cell>
          <cell r="B105" t="str">
            <v>Prihodi od kamata na dane zajmove drugim razinama vlasti</v>
          </cell>
          <cell r="C105" t="str">
            <v>6437</v>
          </cell>
          <cell r="D105">
            <v>0</v>
          </cell>
          <cell r="E105">
            <v>0</v>
          </cell>
        </row>
        <row r="106">
          <cell r="A106">
            <v>65</v>
          </cell>
          <cell r="B106" t="str">
            <v>Prihodi od upravnih i administrativnih pristojbi, pristojbi po posebnim propisima i naknada (šifre 651+652+653+654)</v>
          </cell>
          <cell r="C106" t="str">
            <v>65</v>
          </cell>
          <cell r="D106">
            <v>1007062.16</v>
          </cell>
          <cell r="E106">
            <v>991444.93</v>
          </cell>
        </row>
        <row r="107">
          <cell r="A107">
            <v>651</v>
          </cell>
          <cell r="B107" t="str">
            <v>Upravne i administrativne pristojbe (šifre 6511 do 6514)</v>
          </cell>
          <cell r="C107" t="str">
            <v>651</v>
          </cell>
          <cell r="D107">
            <v>0</v>
          </cell>
          <cell r="E107">
            <v>0</v>
          </cell>
        </row>
        <row r="108">
          <cell r="A108">
            <v>6511</v>
          </cell>
          <cell r="B108" t="str">
            <v>Državne upravne i sudske pristojbe</v>
          </cell>
          <cell r="C108" t="str">
            <v>6511</v>
          </cell>
          <cell r="D108">
            <v>0</v>
          </cell>
          <cell r="E108">
            <v>0</v>
          </cell>
        </row>
        <row r="109">
          <cell r="A109">
            <v>6512</v>
          </cell>
          <cell r="B109" t="str">
            <v>Županijske, gradske i općinske pristojbe i naknade</v>
          </cell>
          <cell r="C109" t="str">
            <v>6512</v>
          </cell>
          <cell r="D109">
            <v>0</v>
          </cell>
          <cell r="E109">
            <v>0</v>
          </cell>
        </row>
        <row r="110">
          <cell r="A110">
            <v>6513</v>
          </cell>
          <cell r="B110" t="str">
            <v>Ostale upravne pristojbe i naknade</v>
          </cell>
          <cell r="C110" t="str">
            <v>6513</v>
          </cell>
          <cell r="D110">
            <v>0</v>
          </cell>
          <cell r="E110">
            <v>0</v>
          </cell>
        </row>
        <row r="111">
          <cell r="A111">
            <v>6514</v>
          </cell>
          <cell r="B111" t="str">
            <v>Ostale pristojbe i naknade</v>
          </cell>
          <cell r="C111" t="str">
            <v>6514</v>
          </cell>
          <cell r="D111">
            <v>0</v>
          </cell>
          <cell r="E111">
            <v>0</v>
          </cell>
        </row>
        <row r="112">
          <cell r="A112">
            <v>652</v>
          </cell>
          <cell r="B112" t="str">
            <v>Prihodi po posebnim propisima (šifre 6521 do 6528)</v>
          </cell>
          <cell r="C112" t="str">
            <v>652</v>
          </cell>
          <cell r="D112">
            <v>1007062.16</v>
          </cell>
          <cell r="E112">
            <v>991444.93</v>
          </cell>
        </row>
        <row r="113">
          <cell r="A113">
            <v>6521</v>
          </cell>
          <cell r="B113" t="str">
            <v>Prihodi državne uprave</v>
          </cell>
          <cell r="C113" t="str">
            <v>6521</v>
          </cell>
          <cell r="D113">
            <v>0</v>
          </cell>
          <cell r="E113">
            <v>0</v>
          </cell>
        </row>
        <row r="114">
          <cell r="A114">
            <v>6522</v>
          </cell>
          <cell r="B114" t="str">
            <v>Prihodi vodnog gospodarstva</v>
          </cell>
          <cell r="C114" t="str">
            <v>6522</v>
          </cell>
          <cell r="D114">
            <v>0</v>
          </cell>
          <cell r="E114">
            <v>0</v>
          </cell>
        </row>
        <row r="115">
          <cell r="A115">
            <v>6524</v>
          </cell>
          <cell r="B115" t="str">
            <v>Doprinosi za šume</v>
          </cell>
          <cell r="C115" t="str">
            <v>6524</v>
          </cell>
          <cell r="D115">
            <v>0</v>
          </cell>
          <cell r="E115">
            <v>0</v>
          </cell>
        </row>
        <row r="116">
          <cell r="A116">
            <v>6525</v>
          </cell>
          <cell r="B116" t="str">
            <v>Mjesni samodoprinos</v>
          </cell>
          <cell r="C116" t="str">
            <v>6525</v>
          </cell>
          <cell r="D116">
            <v>0</v>
          </cell>
          <cell r="E116">
            <v>0</v>
          </cell>
        </row>
        <row r="117">
          <cell r="A117">
            <v>6526</v>
          </cell>
          <cell r="B117" t="str">
            <v>Ostali nespomenuti prihodi</v>
          </cell>
          <cell r="C117" t="str">
            <v>6526</v>
          </cell>
          <cell r="D117">
            <v>1007062.16</v>
          </cell>
          <cell r="E117">
            <v>991444.93</v>
          </cell>
        </row>
        <row r="118">
          <cell r="A118">
            <v>6527</v>
          </cell>
          <cell r="B118" t="str">
            <v>Naknade od financijske imovine</v>
          </cell>
          <cell r="C118" t="str">
            <v>6527</v>
          </cell>
          <cell r="D118">
            <v>0</v>
          </cell>
          <cell r="E118">
            <v>0</v>
          </cell>
        </row>
        <row r="119">
          <cell r="A119" t="str">
            <v>6528</v>
          </cell>
          <cell r="B119" t="str">
            <v>Prihodi od novčane naknade poslodavca zbog nezapošljavanja osoba s invaliditetom</v>
          </cell>
          <cell r="C119" t="str">
            <v>6528</v>
          </cell>
          <cell r="D119">
            <v>0</v>
          </cell>
          <cell r="E119">
            <v>0</v>
          </cell>
        </row>
        <row r="120">
          <cell r="A120">
            <v>653</v>
          </cell>
          <cell r="B120" t="str">
            <v>Komunalni doprinosi i naknade (šifre 6531 do 6533)</v>
          </cell>
          <cell r="C120" t="str">
            <v>653</v>
          </cell>
          <cell r="D120">
            <v>0</v>
          </cell>
          <cell r="E120">
            <v>0</v>
          </cell>
        </row>
        <row r="121">
          <cell r="A121">
            <v>6531</v>
          </cell>
          <cell r="B121" t="str">
            <v>Komunalni doprinosi</v>
          </cell>
          <cell r="C121" t="str">
            <v>6531</v>
          </cell>
          <cell r="D121">
            <v>0</v>
          </cell>
          <cell r="E121">
            <v>0</v>
          </cell>
        </row>
        <row r="122">
          <cell r="A122">
            <v>6532</v>
          </cell>
          <cell r="B122" t="str">
            <v>Komunalne naknade</v>
          </cell>
          <cell r="C122" t="str">
            <v>6532</v>
          </cell>
          <cell r="D122">
            <v>0</v>
          </cell>
          <cell r="E122">
            <v>0</v>
          </cell>
        </row>
        <row r="123">
          <cell r="A123">
            <v>6533</v>
          </cell>
          <cell r="B123" t="str">
            <v>Naknade za priključak</v>
          </cell>
          <cell r="C123" t="str">
            <v>6533</v>
          </cell>
          <cell r="D123">
            <v>0</v>
          </cell>
          <cell r="E123">
            <v>0</v>
          </cell>
        </row>
        <row r="124">
          <cell r="A124" t="str">
            <v>654</v>
          </cell>
          <cell r="B124" t="str">
            <v>Naknade za priređivanje igara na sreću</v>
          </cell>
          <cell r="C124" t="str">
            <v>654</v>
          </cell>
          <cell r="D124">
            <v>0</v>
          </cell>
          <cell r="E124">
            <v>0</v>
          </cell>
        </row>
        <row r="125">
          <cell r="A125">
            <v>66</v>
          </cell>
          <cell r="B125" t="str">
            <v>Prihodi od prodaje proizvoda i robe te pruženih usluga, prihodi od donacija te povrati po protestiranim jamstvima (šifre 661+663)</v>
          </cell>
          <cell r="C125" t="str">
            <v>66</v>
          </cell>
          <cell r="D125">
            <v>113968.66</v>
          </cell>
          <cell r="E125">
            <v>102456.12</v>
          </cell>
        </row>
        <row r="126">
          <cell r="A126">
            <v>661</v>
          </cell>
          <cell r="B126" t="str">
            <v>Prihodi od prodaje proizvoda i robe te pruženih usluga (šifre 6614+6615)</v>
          </cell>
          <cell r="C126" t="str">
            <v>661</v>
          </cell>
          <cell r="D126">
            <v>8918.58</v>
          </cell>
          <cell r="E126">
            <v>8414.93</v>
          </cell>
        </row>
        <row r="127">
          <cell r="A127">
            <v>6614</v>
          </cell>
          <cell r="B127" t="str">
            <v>Prihodi od prodaje proizvoda i robe</v>
          </cell>
          <cell r="C127" t="str">
            <v>6614</v>
          </cell>
          <cell r="D127">
            <v>0</v>
          </cell>
          <cell r="E127">
            <v>0</v>
          </cell>
        </row>
        <row r="128">
          <cell r="A128">
            <v>6615</v>
          </cell>
          <cell r="B128" t="str">
            <v>Prihodi od pruženih usluga</v>
          </cell>
          <cell r="C128" t="str">
            <v>6615</v>
          </cell>
          <cell r="D128">
            <v>8918.58</v>
          </cell>
          <cell r="E128">
            <v>8414.93</v>
          </cell>
        </row>
        <row r="129">
          <cell r="A129">
            <v>663</v>
          </cell>
          <cell r="B129" t="str">
            <v>Donacije od pravnih i fizičkih osoba izvan općeg proračuna te povrat donacija i kapitalnih pomoći po protestiranim jamstvima (šifre 6631 do 6634)</v>
          </cell>
          <cell r="C129" t="str">
            <v>663</v>
          </cell>
          <cell r="D129">
            <v>105050.08</v>
          </cell>
          <cell r="E129">
            <v>94041.19</v>
          </cell>
        </row>
        <row r="130">
          <cell r="A130">
            <v>6631</v>
          </cell>
          <cell r="B130" t="str">
            <v>Tekuće donacije</v>
          </cell>
          <cell r="C130" t="str">
            <v>6631</v>
          </cell>
          <cell r="D130">
            <v>0</v>
          </cell>
          <cell r="E130">
            <v>0</v>
          </cell>
        </row>
        <row r="131">
          <cell r="A131">
            <v>6632</v>
          </cell>
          <cell r="B131" t="str">
            <v>Kapitalne donacije</v>
          </cell>
          <cell r="C131" t="str">
            <v>6632</v>
          </cell>
          <cell r="D131">
            <v>105050.08</v>
          </cell>
          <cell r="E131">
            <v>94041.19</v>
          </cell>
        </row>
        <row r="132">
          <cell r="A132" t="str">
            <v>6633</v>
          </cell>
          <cell r="B132" t="str">
            <v>Povrat donacija danih neprofitnim organizacijama, građanima i kućanstvima u tuzemstvu po protestiranim jamstvima</v>
          </cell>
          <cell r="C132" t="str">
            <v>6633</v>
          </cell>
          <cell r="D132">
            <v>0</v>
          </cell>
          <cell r="E132">
            <v>0</v>
          </cell>
        </row>
        <row r="133">
          <cell r="A133" t="str">
            <v>6634</v>
          </cell>
          <cell r="B133" t="str">
            <v>Povrat kapitalnih pomoći danih trgovačkim društvima i obrtnicima po protestiranim jamstvima</v>
          </cell>
          <cell r="C133" t="str">
            <v>6634</v>
          </cell>
          <cell r="D133">
            <v>0</v>
          </cell>
          <cell r="E133">
            <v>0</v>
          </cell>
        </row>
        <row r="134">
          <cell r="A134">
            <v>67</v>
          </cell>
          <cell r="B134" t="str">
            <v>Prihodi iz nadležnog proračuna i od HZZO-a na temelju ugovornih obveza (šifre 671+673)</v>
          </cell>
          <cell r="C134" t="str">
            <v>67</v>
          </cell>
          <cell r="D134">
            <v>16078946.33</v>
          </cell>
          <cell r="E134">
            <v>20104298.509999998</v>
          </cell>
        </row>
        <row r="135">
          <cell r="A135">
            <v>671</v>
          </cell>
          <cell r="B135" t="str">
            <v>Prihodi iz nadležnog proračuna za financiranje redovne djelatnosti proračunskih korisnika (šifre 6711 do 6714)</v>
          </cell>
          <cell r="C135" t="str">
            <v>671</v>
          </cell>
          <cell r="D135">
            <v>16078946.33</v>
          </cell>
          <cell r="E135">
            <v>20104298.509999998</v>
          </cell>
        </row>
        <row r="136">
          <cell r="A136">
            <v>6711</v>
          </cell>
          <cell r="B136" t="str">
            <v>Prihodi iz nadležnog proračuna za financiranje rashoda poslovanja</v>
          </cell>
          <cell r="C136" t="str">
            <v>6711</v>
          </cell>
          <cell r="D136">
            <v>14935546.33</v>
          </cell>
          <cell r="E136">
            <v>18783466.699999999</v>
          </cell>
        </row>
        <row r="137">
          <cell r="A137">
            <v>6712</v>
          </cell>
          <cell r="B137" t="str">
            <v>Prihodi iz nadležnog proračuna za financiranje rashoda za nabavu nefinancijske imovine</v>
          </cell>
          <cell r="C137" t="str">
            <v>6712</v>
          </cell>
          <cell r="D137">
            <v>1143400</v>
          </cell>
          <cell r="E137">
            <v>1320831.81</v>
          </cell>
        </row>
        <row r="138">
          <cell r="A138" t="str">
            <v>6714</v>
          </cell>
          <cell r="B138" t="str">
            <v>Prihodi iz nadležnog proračuna za financiranje izdataka za financijsku imovinu i otplatu zajmova</v>
          </cell>
          <cell r="C138" t="str">
            <v>6714</v>
          </cell>
          <cell r="D138">
            <v>0</v>
          </cell>
          <cell r="E138">
            <v>0</v>
          </cell>
        </row>
        <row r="139">
          <cell r="A139" t="str">
            <v>673</v>
          </cell>
          <cell r="B139" t="str">
            <v>Prihodi od HZZO-a na temelju ugovornih obveza</v>
          </cell>
          <cell r="C139" t="str">
            <v>673</v>
          </cell>
          <cell r="D139">
            <v>0</v>
          </cell>
          <cell r="E139">
            <v>0</v>
          </cell>
        </row>
        <row r="140">
          <cell r="A140">
            <v>68</v>
          </cell>
          <cell r="B140" t="str">
            <v>Kazne, upravne mjere i ostali prihodi (šifre 681+683)</v>
          </cell>
          <cell r="C140" t="str">
            <v>68</v>
          </cell>
          <cell r="D140">
            <v>300</v>
          </cell>
          <cell r="E140">
            <v>1487.5</v>
          </cell>
        </row>
        <row r="141">
          <cell r="A141">
            <v>681</v>
          </cell>
          <cell r="B141" t="str">
            <v>Kazne i upravne mjere (šifre 6811 do 6819)</v>
          </cell>
          <cell r="C141" t="str">
            <v>681</v>
          </cell>
          <cell r="D141">
            <v>0</v>
          </cell>
          <cell r="E141">
            <v>0</v>
          </cell>
        </row>
        <row r="142">
          <cell r="A142">
            <v>6811</v>
          </cell>
          <cell r="B142" t="str">
            <v>Kazne za carinske prekršaje</v>
          </cell>
          <cell r="C142" t="str">
            <v>6811</v>
          </cell>
          <cell r="D142">
            <v>0</v>
          </cell>
          <cell r="E142">
            <v>0</v>
          </cell>
        </row>
        <row r="143">
          <cell r="A143">
            <v>6812</v>
          </cell>
          <cell r="B143" t="str">
            <v>Kazne za devizne prekršaje</v>
          </cell>
          <cell r="C143" t="str">
            <v>6812</v>
          </cell>
          <cell r="D143">
            <v>0</v>
          </cell>
          <cell r="E143">
            <v>0</v>
          </cell>
        </row>
        <row r="144">
          <cell r="A144">
            <v>6813</v>
          </cell>
          <cell r="B144" t="str">
            <v>Kazne za porezne prekršaje</v>
          </cell>
          <cell r="C144" t="str">
            <v>6813</v>
          </cell>
          <cell r="D144">
            <v>0</v>
          </cell>
          <cell r="E144">
            <v>0</v>
          </cell>
        </row>
        <row r="145">
          <cell r="A145">
            <v>6814</v>
          </cell>
          <cell r="B145" t="str">
            <v>Kazne za prekršaje trgovačkih društava</v>
          </cell>
          <cell r="C145" t="str">
            <v>6814</v>
          </cell>
          <cell r="D145">
            <v>0</v>
          </cell>
          <cell r="E145">
            <v>0</v>
          </cell>
        </row>
        <row r="146">
          <cell r="A146">
            <v>6815</v>
          </cell>
          <cell r="B146" t="str">
            <v>Kazne za prometne i ostale prekršaje u nadležnosti MUP-a</v>
          </cell>
          <cell r="C146" t="str">
            <v>6815</v>
          </cell>
          <cell r="D146">
            <v>0</v>
          </cell>
          <cell r="E146">
            <v>0</v>
          </cell>
        </row>
        <row r="147">
          <cell r="A147">
            <v>6816</v>
          </cell>
          <cell r="B147" t="str">
            <v>Kazne i druge mjere u kaznenom postupku</v>
          </cell>
          <cell r="C147" t="str">
            <v>6816</v>
          </cell>
          <cell r="D147">
            <v>0</v>
          </cell>
          <cell r="E147">
            <v>0</v>
          </cell>
        </row>
        <row r="148">
          <cell r="A148">
            <v>6817</v>
          </cell>
          <cell r="B148" t="str">
            <v>Kazne za prekršaje na kulturnim dobrima</v>
          </cell>
          <cell r="C148" t="str">
            <v>6817</v>
          </cell>
          <cell r="D148">
            <v>0</v>
          </cell>
          <cell r="E148">
            <v>0</v>
          </cell>
        </row>
        <row r="149">
          <cell r="A149">
            <v>6818</v>
          </cell>
          <cell r="B149" t="str">
            <v>Upravne mjere</v>
          </cell>
          <cell r="C149" t="str">
            <v>6818</v>
          </cell>
          <cell r="D149">
            <v>0</v>
          </cell>
          <cell r="E149">
            <v>0</v>
          </cell>
        </row>
        <row r="150">
          <cell r="A150">
            <v>6819</v>
          </cell>
          <cell r="B150" t="str">
            <v>Ostale kazne</v>
          </cell>
          <cell r="C150" t="str">
            <v>6819</v>
          </cell>
          <cell r="D150">
            <v>0</v>
          </cell>
          <cell r="E150">
            <v>0</v>
          </cell>
        </row>
        <row r="151">
          <cell r="A151">
            <v>683</v>
          </cell>
          <cell r="B151" t="str">
            <v>Ostali prihodi</v>
          </cell>
          <cell r="C151" t="str">
            <v>683</v>
          </cell>
          <cell r="D151">
            <v>300</v>
          </cell>
          <cell r="E151">
            <v>1487.5</v>
          </cell>
        </row>
        <row r="152">
          <cell r="A152">
            <v>3</v>
          </cell>
          <cell r="B152" t="str">
            <v xml:space="preserve">RASHODI POSLOVANJA (šifre 31+32+34+35+36+37+38) </v>
          </cell>
          <cell r="C152" t="str">
            <v>3</v>
          </cell>
          <cell r="D152">
            <v>16962960.170000002</v>
          </cell>
          <cell r="E152">
            <v>21015642.209999997</v>
          </cell>
        </row>
        <row r="153">
          <cell r="A153">
            <v>31</v>
          </cell>
          <cell r="B153" t="str">
            <v>Rashodi za zaposlene (šifre 311+312+313)</v>
          </cell>
          <cell r="C153" t="str">
            <v>31</v>
          </cell>
          <cell r="D153">
            <v>14688428.34</v>
          </cell>
          <cell r="E153">
            <v>18246728.07</v>
          </cell>
        </row>
        <row r="154">
          <cell r="A154">
            <v>311</v>
          </cell>
          <cell r="B154" t="str">
            <v xml:space="preserve">Plaće (bruto) (šifre 3111 do 3114) </v>
          </cell>
          <cell r="C154" t="str">
            <v>311</v>
          </cell>
          <cell r="D154">
            <v>11694577.1</v>
          </cell>
          <cell r="E154">
            <v>14571481.390000001</v>
          </cell>
        </row>
        <row r="155">
          <cell r="A155">
            <v>3111</v>
          </cell>
          <cell r="B155" t="str">
            <v>Plaće za redovan rad</v>
          </cell>
          <cell r="C155" t="str">
            <v>3111</v>
          </cell>
          <cell r="D155">
            <v>11694577.1</v>
          </cell>
          <cell r="E155">
            <v>14571481.390000001</v>
          </cell>
        </row>
        <row r="156">
          <cell r="A156">
            <v>3112</v>
          </cell>
          <cell r="B156" t="str">
            <v>Plaće u naravi</v>
          </cell>
          <cell r="C156" t="str">
            <v>3112</v>
          </cell>
          <cell r="D156">
            <v>0</v>
          </cell>
          <cell r="E156">
            <v>0</v>
          </cell>
        </row>
        <row r="157">
          <cell r="A157">
            <v>3113</v>
          </cell>
          <cell r="B157" t="str">
            <v>Plaće za prekovremeni rad</v>
          </cell>
          <cell r="C157" t="str">
            <v>3113</v>
          </cell>
          <cell r="D157">
            <v>0</v>
          </cell>
          <cell r="E157">
            <v>0</v>
          </cell>
        </row>
        <row r="158">
          <cell r="A158">
            <v>3114</v>
          </cell>
          <cell r="B158" t="str">
            <v>Plaće za posebne uvjete rada</v>
          </cell>
          <cell r="C158" t="str">
            <v>3114</v>
          </cell>
          <cell r="D158">
            <v>0</v>
          </cell>
          <cell r="E158">
            <v>0</v>
          </cell>
        </row>
        <row r="159">
          <cell r="A159">
            <v>312</v>
          </cell>
          <cell r="B159" t="str">
            <v>Ostali rashodi za zaposlene</v>
          </cell>
          <cell r="C159" t="str">
            <v>312</v>
          </cell>
          <cell r="D159">
            <v>1119072.06</v>
          </cell>
          <cell r="E159">
            <v>1335947.25</v>
          </cell>
        </row>
        <row r="160">
          <cell r="A160">
            <v>313</v>
          </cell>
          <cell r="B160" t="str">
            <v>Doprinosi na plaće (šifre 3131 do 3133)</v>
          </cell>
          <cell r="C160" t="str">
            <v>313</v>
          </cell>
          <cell r="D160">
            <v>1874779.18</v>
          </cell>
          <cell r="E160">
            <v>2339299.4300000002</v>
          </cell>
        </row>
        <row r="161">
          <cell r="A161">
            <v>3131</v>
          </cell>
          <cell r="B161" t="str">
            <v>Doprinosi za mirovinsko osiguranje za staž s povećanim trajanjem</v>
          </cell>
          <cell r="C161" t="str">
            <v>3131</v>
          </cell>
          <cell r="D161">
            <v>0</v>
          </cell>
          <cell r="E161">
            <v>0</v>
          </cell>
        </row>
        <row r="162">
          <cell r="A162">
            <v>3132</v>
          </cell>
          <cell r="B162" t="str">
            <v>Doprinosi za obvezno zdravstveno osiguranje</v>
          </cell>
          <cell r="C162" t="str">
            <v>3132</v>
          </cell>
          <cell r="D162">
            <v>1874779.18</v>
          </cell>
          <cell r="E162">
            <v>2339299.4300000002</v>
          </cell>
        </row>
        <row r="163">
          <cell r="A163">
            <v>3133</v>
          </cell>
          <cell r="B163" t="str">
            <v>Doprinosi za obvezno osiguranje u slučaju nezaposlenosti</v>
          </cell>
          <cell r="C163" t="str">
            <v>3133</v>
          </cell>
          <cell r="D163">
            <v>0</v>
          </cell>
          <cell r="E163">
            <v>0</v>
          </cell>
        </row>
        <row r="164">
          <cell r="A164">
            <v>32</v>
          </cell>
          <cell r="B164" t="str">
            <v>Materijalni rashodi (šifre 321+322+323+324+325+329)</v>
          </cell>
          <cell r="C164" t="str">
            <v>32</v>
          </cell>
          <cell r="D164">
            <v>2256275.1</v>
          </cell>
          <cell r="E164">
            <v>2747617.2399999998</v>
          </cell>
        </row>
        <row r="165">
          <cell r="A165">
            <v>321</v>
          </cell>
          <cell r="B165" t="str">
            <v>Naknade troškova zaposlenima (šifre 3211 do 3214)</v>
          </cell>
          <cell r="C165" t="str">
            <v>321</v>
          </cell>
          <cell r="D165">
            <v>366956.24</v>
          </cell>
          <cell r="E165">
            <v>423475.52999999997</v>
          </cell>
        </row>
        <row r="166">
          <cell r="A166">
            <v>3211</v>
          </cell>
          <cell r="B166" t="str">
            <v>Službena putovanja</v>
          </cell>
          <cell r="C166" t="str">
            <v>3211</v>
          </cell>
          <cell r="D166">
            <v>45943.839999999997</v>
          </cell>
          <cell r="E166">
            <v>65659.75</v>
          </cell>
        </row>
        <row r="167">
          <cell r="A167">
            <v>3212</v>
          </cell>
          <cell r="B167" t="str">
            <v>Naknade za prijevoz, za rad na terenu i odvojeni život</v>
          </cell>
          <cell r="C167" t="str">
            <v>3212</v>
          </cell>
          <cell r="D167">
            <v>301115.64</v>
          </cell>
          <cell r="E167">
            <v>323468.42</v>
          </cell>
        </row>
        <row r="168">
          <cell r="A168">
            <v>3213</v>
          </cell>
          <cell r="B168" t="str">
            <v>Stručno usavršavanje zaposlenika</v>
          </cell>
          <cell r="C168" t="str">
            <v>3213</v>
          </cell>
          <cell r="D168">
            <v>18916.060000000001</v>
          </cell>
          <cell r="E168">
            <v>33517.86</v>
          </cell>
        </row>
        <row r="169">
          <cell r="A169">
            <v>3214</v>
          </cell>
          <cell r="B169" t="str">
            <v>Ostale naknade troškova zaposlenima</v>
          </cell>
          <cell r="C169" t="str">
            <v>3214</v>
          </cell>
          <cell r="D169">
            <v>980.7</v>
          </cell>
          <cell r="E169">
            <v>829.5</v>
          </cell>
        </row>
        <row r="170">
          <cell r="A170">
            <v>322</v>
          </cell>
          <cell r="B170" t="str">
            <v>Rashodi za materijal i energiju (šifre 3221 do 3227)</v>
          </cell>
          <cell r="C170" t="str">
            <v>322</v>
          </cell>
          <cell r="D170">
            <v>610342.22000000009</v>
          </cell>
          <cell r="E170">
            <v>686052.3</v>
          </cell>
        </row>
        <row r="171">
          <cell r="A171">
            <v>3221</v>
          </cell>
          <cell r="B171" t="str">
            <v>Uredski materijal i ostali materijalni rashodi</v>
          </cell>
          <cell r="C171" t="str">
            <v>3221</v>
          </cell>
          <cell r="D171">
            <v>167342.45000000001</v>
          </cell>
          <cell r="E171">
            <v>168209.17</v>
          </cell>
        </row>
        <row r="172">
          <cell r="A172">
            <v>3222</v>
          </cell>
          <cell r="B172" t="str">
            <v>Materijal i sirovine</v>
          </cell>
          <cell r="C172" t="str">
            <v>3222</v>
          </cell>
          <cell r="D172">
            <v>58570.65</v>
          </cell>
          <cell r="E172">
            <v>60231.97</v>
          </cell>
        </row>
        <row r="173">
          <cell r="A173">
            <v>3223</v>
          </cell>
          <cell r="B173" t="str">
            <v>Energija</v>
          </cell>
          <cell r="C173" t="str">
            <v>3223</v>
          </cell>
          <cell r="D173">
            <v>345414.19</v>
          </cell>
          <cell r="E173">
            <v>419401.03</v>
          </cell>
        </row>
        <row r="174">
          <cell r="A174">
            <v>3224</v>
          </cell>
          <cell r="B174" t="str">
            <v>Materijal i dijelovi za tekuće i investicijsko održavanje</v>
          </cell>
          <cell r="C174" t="str">
            <v>3224</v>
          </cell>
          <cell r="D174">
            <v>33355.800000000003</v>
          </cell>
          <cell r="E174">
            <v>27705.1</v>
          </cell>
        </row>
        <row r="175">
          <cell r="A175">
            <v>3225</v>
          </cell>
          <cell r="B175" t="str">
            <v>Sitni inventar i autogume</v>
          </cell>
          <cell r="C175" t="str">
            <v>3225</v>
          </cell>
          <cell r="D175">
            <v>5218.88</v>
          </cell>
          <cell r="E175">
            <v>7764.76</v>
          </cell>
        </row>
        <row r="176">
          <cell r="A176">
            <v>3226</v>
          </cell>
          <cell r="B176" t="str">
            <v>Vojna sredstva za jednokratnu upotrebu</v>
          </cell>
          <cell r="C176" t="str">
            <v>3226</v>
          </cell>
          <cell r="D176">
            <v>0</v>
          </cell>
          <cell r="E176">
            <v>0</v>
          </cell>
        </row>
        <row r="177">
          <cell r="A177">
            <v>3227</v>
          </cell>
          <cell r="B177" t="str">
            <v>Službena, radna i zaštitna odjeća i obuća</v>
          </cell>
          <cell r="C177" t="str">
            <v>3227</v>
          </cell>
          <cell r="D177">
            <v>440.25</v>
          </cell>
          <cell r="E177">
            <v>2740.27</v>
          </cell>
        </row>
        <row r="178">
          <cell r="A178">
            <v>323</v>
          </cell>
          <cell r="B178" t="str">
            <v>Rashodi za usluge (šifre 3231 do 3239)</v>
          </cell>
          <cell r="C178" t="str">
            <v>323</v>
          </cell>
          <cell r="D178">
            <v>1194804.25</v>
          </cell>
          <cell r="E178">
            <v>1545074.67</v>
          </cell>
        </row>
        <row r="179">
          <cell r="A179">
            <v>3231</v>
          </cell>
          <cell r="B179" t="str">
            <v>Usluge telefona, interneta, pošte i prijevoza</v>
          </cell>
          <cell r="C179" t="str">
            <v>3231</v>
          </cell>
          <cell r="D179">
            <v>70212.710000000006</v>
          </cell>
          <cell r="E179">
            <v>70282.600000000006</v>
          </cell>
        </row>
        <row r="180">
          <cell r="A180">
            <v>3232</v>
          </cell>
          <cell r="B180" t="str">
            <v>Usluge tekućeg i investicijskog održavanja</v>
          </cell>
          <cell r="C180" t="str">
            <v>3232</v>
          </cell>
          <cell r="D180">
            <v>147914.44</v>
          </cell>
          <cell r="E180">
            <v>140597.34</v>
          </cell>
        </row>
        <row r="181">
          <cell r="A181">
            <v>3233</v>
          </cell>
          <cell r="B181" t="str">
            <v>Usluge promidžbe i informiranja</v>
          </cell>
          <cell r="C181" t="str">
            <v>3233</v>
          </cell>
          <cell r="D181">
            <v>6612.54</v>
          </cell>
          <cell r="E181">
            <v>30179.7</v>
          </cell>
        </row>
        <row r="182">
          <cell r="A182">
            <v>3234</v>
          </cell>
          <cell r="B182" t="str">
            <v>Komunalne usluge</v>
          </cell>
          <cell r="C182" t="str">
            <v>3234</v>
          </cell>
          <cell r="D182">
            <v>166532.65</v>
          </cell>
          <cell r="E182">
            <v>182133.25</v>
          </cell>
        </row>
        <row r="183">
          <cell r="A183">
            <v>3235</v>
          </cell>
          <cell r="B183" t="str">
            <v>Zakupnine i najamnine</v>
          </cell>
          <cell r="C183" t="str">
            <v>3235</v>
          </cell>
          <cell r="D183">
            <v>272158.64</v>
          </cell>
          <cell r="E183">
            <v>402724.41</v>
          </cell>
        </row>
        <row r="184">
          <cell r="A184">
            <v>3236</v>
          </cell>
          <cell r="B184" t="str">
            <v>Zdravstvene i veterinarske usluge</v>
          </cell>
          <cell r="C184" t="str">
            <v>3236</v>
          </cell>
          <cell r="D184">
            <v>30398.47</v>
          </cell>
          <cell r="E184">
            <v>25883.52</v>
          </cell>
        </row>
        <row r="185">
          <cell r="A185">
            <v>3237</v>
          </cell>
          <cell r="B185" t="str">
            <v>Intelektualne i osobne usluge</v>
          </cell>
          <cell r="C185" t="str">
            <v>3237</v>
          </cell>
          <cell r="D185">
            <v>161106.76999999999</v>
          </cell>
          <cell r="E185">
            <v>284572.14</v>
          </cell>
        </row>
        <row r="186">
          <cell r="A186">
            <v>3238</v>
          </cell>
          <cell r="B186" t="str">
            <v>Računalne usluge</v>
          </cell>
          <cell r="C186" t="str">
            <v>3238</v>
          </cell>
          <cell r="D186">
            <v>152140.79</v>
          </cell>
          <cell r="E186">
            <v>206886.92</v>
          </cell>
        </row>
        <row r="187">
          <cell r="A187">
            <v>3239</v>
          </cell>
          <cell r="B187" t="str">
            <v>Ostale usluge</v>
          </cell>
          <cell r="C187" t="str">
            <v>3239</v>
          </cell>
          <cell r="D187">
            <v>187727.24</v>
          </cell>
          <cell r="E187">
            <v>201814.79</v>
          </cell>
        </row>
        <row r="188">
          <cell r="A188">
            <v>324</v>
          </cell>
          <cell r="B188" t="str">
            <v>Naknade troškova osobama izvan radnog odnosa</v>
          </cell>
          <cell r="C188" t="str">
            <v>324</v>
          </cell>
          <cell r="D188">
            <v>221.18</v>
          </cell>
          <cell r="E188">
            <v>407.3</v>
          </cell>
        </row>
        <row r="189">
          <cell r="A189" t="str">
            <v>325</v>
          </cell>
          <cell r="B189" t="str">
            <v>Rashodi lijekova i potrošnog medicinskog materijala kod zdravstvenih ustanova (šifre 3251 do 3254)</v>
          </cell>
          <cell r="C189" t="str">
            <v>325</v>
          </cell>
          <cell r="D189">
            <v>0</v>
          </cell>
          <cell r="E189">
            <v>0</v>
          </cell>
        </row>
        <row r="190">
          <cell r="A190" t="str">
            <v>3251</v>
          </cell>
          <cell r="B190" t="str">
            <v xml:space="preserve">Rashodi po osnovi utroška lijekova i potrošnog medicinskog materijala </v>
          </cell>
          <cell r="C190" t="str">
            <v>3251</v>
          </cell>
          <cell r="D190">
            <v>0</v>
          </cell>
          <cell r="E190">
            <v>0</v>
          </cell>
        </row>
        <row r="191">
          <cell r="A191" t="str">
            <v>3252</v>
          </cell>
          <cell r="B191" t="str">
            <v>Rashodi po osnovi otpisa lijekova i potrošnog medicinskog materijala</v>
          </cell>
          <cell r="C191" t="str">
            <v>3252</v>
          </cell>
          <cell r="D191">
            <v>0</v>
          </cell>
          <cell r="E191">
            <v>0</v>
          </cell>
        </row>
        <row r="192">
          <cell r="A192" t="str">
            <v>3253</v>
          </cell>
          <cell r="B192" t="str">
            <v>Rashodi po osnovi donacije lijekova i potrošnog medicinskog materijala</v>
          </cell>
          <cell r="C192" t="str">
            <v>3253</v>
          </cell>
          <cell r="D192">
            <v>0</v>
          </cell>
          <cell r="E192">
            <v>0</v>
          </cell>
        </row>
        <row r="193">
          <cell r="A193" t="str">
            <v>3254</v>
          </cell>
          <cell r="B193" t="str">
            <v>Rashodi po osnovi prodaje lijekova i potrošnog medicinskog materijala</v>
          </cell>
          <cell r="C193" t="str">
            <v>3254</v>
          </cell>
          <cell r="D193">
            <v>0</v>
          </cell>
          <cell r="E193">
            <v>0</v>
          </cell>
        </row>
        <row r="194">
          <cell r="A194">
            <v>329</v>
          </cell>
          <cell r="B194" t="str">
            <v>Ostali nespomenuti rashodi poslovanja (šifre 3291 do 3299)</v>
          </cell>
          <cell r="C194" t="str">
            <v>329</v>
          </cell>
          <cell r="D194">
            <v>83951.21</v>
          </cell>
          <cell r="E194">
            <v>92607.44</v>
          </cell>
        </row>
        <row r="195">
          <cell r="A195">
            <v>3291</v>
          </cell>
          <cell r="B195" t="str">
            <v>Naknade za rad predstavničkih i izvršnih tijela, povjerenstava i slično</v>
          </cell>
          <cell r="C195" t="str">
            <v>3291</v>
          </cell>
          <cell r="D195">
            <v>6122.57</v>
          </cell>
          <cell r="E195">
            <v>5083.92</v>
          </cell>
        </row>
        <row r="196">
          <cell r="A196">
            <v>3292</v>
          </cell>
          <cell r="B196" t="str">
            <v>Premije osiguranja</v>
          </cell>
          <cell r="C196" t="str">
            <v>3292</v>
          </cell>
          <cell r="D196">
            <v>28313.22</v>
          </cell>
          <cell r="E196">
            <v>30351.56</v>
          </cell>
        </row>
        <row r="197">
          <cell r="A197">
            <v>3293</v>
          </cell>
          <cell r="B197" t="str">
            <v>Reprezentacija</v>
          </cell>
          <cell r="C197" t="str">
            <v>3293</v>
          </cell>
          <cell r="D197">
            <v>19837.169999999998</v>
          </cell>
          <cell r="E197">
            <v>26654.1</v>
          </cell>
        </row>
        <row r="198">
          <cell r="A198">
            <v>3294</v>
          </cell>
          <cell r="B198" t="str">
            <v>Članarine i norme</v>
          </cell>
          <cell r="C198" t="str">
            <v>3294</v>
          </cell>
          <cell r="D198">
            <v>4502.2</v>
          </cell>
          <cell r="E198">
            <v>4984.9399999999996</v>
          </cell>
        </row>
        <row r="199">
          <cell r="A199">
            <v>3295</v>
          </cell>
          <cell r="B199" t="str">
            <v>Pristojbe i naknade</v>
          </cell>
          <cell r="C199" t="str">
            <v>3295</v>
          </cell>
          <cell r="D199">
            <v>18631.7</v>
          </cell>
          <cell r="E199">
            <v>20764.34</v>
          </cell>
        </row>
        <row r="200">
          <cell r="A200" t="str">
            <v>3296</v>
          </cell>
          <cell r="B200" t="str">
            <v>Troškovi sudskih postupaka</v>
          </cell>
          <cell r="C200" t="str">
            <v>3296</v>
          </cell>
          <cell r="D200">
            <v>0</v>
          </cell>
          <cell r="E200">
            <v>0</v>
          </cell>
        </row>
        <row r="201">
          <cell r="A201">
            <v>3299</v>
          </cell>
          <cell r="B201" t="str">
            <v xml:space="preserve">Ostali nespomenuti rashodi poslovanja </v>
          </cell>
          <cell r="C201" t="str">
            <v>3299</v>
          </cell>
          <cell r="D201">
            <v>6544.35</v>
          </cell>
          <cell r="E201">
            <v>4768.58</v>
          </cell>
        </row>
        <row r="202">
          <cell r="A202">
            <v>34</v>
          </cell>
          <cell r="B202" t="str">
            <v xml:space="preserve">Financijski rashodi (šifre 341+342+343) </v>
          </cell>
          <cell r="C202" t="str">
            <v>34</v>
          </cell>
          <cell r="D202">
            <v>18256.730000000003</v>
          </cell>
          <cell r="E202">
            <v>21296.899999999998</v>
          </cell>
        </row>
        <row r="203">
          <cell r="A203">
            <v>341</v>
          </cell>
          <cell r="B203" t="str">
            <v>Kamate za izdane vrijednosne papire (šifre 3411 do 3419)</v>
          </cell>
          <cell r="C203" t="str">
            <v>341</v>
          </cell>
          <cell r="D203">
            <v>0</v>
          </cell>
          <cell r="E203">
            <v>0</v>
          </cell>
        </row>
        <row r="204">
          <cell r="A204">
            <v>3411</v>
          </cell>
          <cell r="B204" t="str">
            <v>Kamate za izdane trezorske zapise</v>
          </cell>
          <cell r="C204" t="str">
            <v>3411</v>
          </cell>
          <cell r="D204">
            <v>0</v>
          </cell>
          <cell r="E204">
            <v>0</v>
          </cell>
        </row>
        <row r="205">
          <cell r="A205">
            <v>3412</v>
          </cell>
          <cell r="B205" t="str">
            <v>Kamate za izdane mjenice</v>
          </cell>
          <cell r="C205" t="str">
            <v>3412</v>
          </cell>
          <cell r="D205">
            <v>0</v>
          </cell>
          <cell r="E205">
            <v>0</v>
          </cell>
        </row>
        <row r="206">
          <cell r="A206">
            <v>3413</v>
          </cell>
          <cell r="B206" t="str">
            <v>Kamate za izdane obveznice</v>
          </cell>
          <cell r="C206" t="str">
            <v>3413</v>
          </cell>
          <cell r="D206">
            <v>0</v>
          </cell>
          <cell r="E206">
            <v>0</v>
          </cell>
        </row>
        <row r="207">
          <cell r="A207">
            <v>3419</v>
          </cell>
          <cell r="B207" t="str">
            <v>Kamate za ostale vrijednosne papire</v>
          </cell>
          <cell r="C207" t="str">
            <v>3419</v>
          </cell>
          <cell r="D207">
            <v>0</v>
          </cell>
          <cell r="E207">
            <v>0</v>
          </cell>
        </row>
        <row r="208">
          <cell r="A208">
            <v>342</v>
          </cell>
          <cell r="B208" t="str">
            <v>Kamate za primljene kredite i zajmove (šifre 3421 do 3428)</v>
          </cell>
          <cell r="C208" t="str">
            <v>342</v>
          </cell>
          <cell r="D208">
            <v>0</v>
          </cell>
          <cell r="E208">
            <v>0</v>
          </cell>
        </row>
        <row r="209">
          <cell r="A209">
            <v>3421</v>
          </cell>
          <cell r="B209" t="str">
            <v>Kamate za primljene kredite i zajmove od međunarodnih organizacija, institucija i tijela EU te inozemnih vlada</v>
          </cell>
          <cell r="C209" t="str">
            <v>3421</v>
          </cell>
          <cell r="D209">
            <v>0</v>
          </cell>
          <cell r="E209">
            <v>0</v>
          </cell>
        </row>
        <row r="210">
          <cell r="A210">
            <v>3422</v>
          </cell>
          <cell r="B210" t="str">
            <v>Kamate za primljene kredite i zajmove od kreditnih i ostalih financijskih institucija u javnom sektoru</v>
          </cell>
          <cell r="C210" t="str">
            <v>3422</v>
          </cell>
          <cell r="D210">
            <v>0</v>
          </cell>
          <cell r="E210">
            <v>0</v>
          </cell>
        </row>
        <row r="211">
          <cell r="A211">
            <v>3423</v>
          </cell>
          <cell r="B211" t="str">
            <v>Kamate za primljene kredite i zajmove od kreditnih i ostalih financijskih institucija izvan javnog sektora</v>
          </cell>
          <cell r="C211" t="str">
            <v>3423</v>
          </cell>
          <cell r="D211">
            <v>0</v>
          </cell>
          <cell r="E211">
            <v>0</v>
          </cell>
        </row>
        <row r="212">
          <cell r="A212">
            <v>3425</v>
          </cell>
          <cell r="B212" t="str">
            <v>Kamate za odobrene, a nerealizirane kredite i zajmove</v>
          </cell>
          <cell r="C212" t="str">
            <v>3425</v>
          </cell>
          <cell r="D212">
            <v>0</v>
          </cell>
          <cell r="E212">
            <v>0</v>
          </cell>
        </row>
        <row r="213">
          <cell r="A213">
            <v>3426</v>
          </cell>
          <cell r="B213" t="str">
            <v>Kamate za primljene zajmove od trgovačkih društava u javnom sektoru</v>
          </cell>
          <cell r="C213" t="str">
            <v>3426</v>
          </cell>
          <cell r="D213">
            <v>0</v>
          </cell>
          <cell r="E213">
            <v>0</v>
          </cell>
        </row>
        <row r="214">
          <cell r="A214">
            <v>3427</v>
          </cell>
          <cell r="B214" t="str">
            <v>Kamate za primljene zajmove od trgovačkih društava i obrtnika izvan javnog sektora</v>
          </cell>
          <cell r="C214" t="str">
            <v>3427</v>
          </cell>
          <cell r="D214">
            <v>0</v>
          </cell>
          <cell r="E214">
            <v>0</v>
          </cell>
        </row>
        <row r="215">
          <cell r="A215">
            <v>3428</v>
          </cell>
          <cell r="B215" t="str">
            <v>Kamate za primljene zajmove od drugih razina vlasti</v>
          </cell>
          <cell r="C215" t="str">
            <v>3428</v>
          </cell>
          <cell r="D215">
            <v>0</v>
          </cell>
          <cell r="E215">
            <v>0</v>
          </cell>
        </row>
        <row r="216">
          <cell r="A216">
            <v>343</v>
          </cell>
          <cell r="B216" t="str">
            <v>Ostali financijski rashodi (šifre 3431 do 3434)</v>
          </cell>
          <cell r="C216" t="str">
            <v>343</v>
          </cell>
          <cell r="D216">
            <v>18256.730000000003</v>
          </cell>
          <cell r="E216">
            <v>21296.899999999998</v>
          </cell>
        </row>
        <row r="217">
          <cell r="A217">
            <v>3431</v>
          </cell>
          <cell r="B217" t="str">
            <v>Bankarske usluge i usluge platnog prometa</v>
          </cell>
          <cell r="C217" t="str">
            <v>3431</v>
          </cell>
          <cell r="D217">
            <v>18133.240000000002</v>
          </cell>
          <cell r="E217">
            <v>20637.03</v>
          </cell>
        </row>
        <row r="218">
          <cell r="A218">
            <v>3432</v>
          </cell>
          <cell r="B218" t="str">
            <v>Negativne tečajne razlike i razlike zbog primjene valutne klauzule</v>
          </cell>
          <cell r="C218" t="str">
            <v>3432</v>
          </cell>
          <cell r="D218">
            <v>0</v>
          </cell>
          <cell r="E218">
            <v>0</v>
          </cell>
        </row>
        <row r="219">
          <cell r="A219">
            <v>3433</v>
          </cell>
          <cell r="B219" t="str">
            <v xml:space="preserve">Zatezne kamate </v>
          </cell>
          <cell r="C219" t="str">
            <v>3433</v>
          </cell>
          <cell r="D219">
            <v>123.49</v>
          </cell>
          <cell r="E219">
            <v>659.87</v>
          </cell>
        </row>
        <row r="220">
          <cell r="A220">
            <v>3434</v>
          </cell>
          <cell r="B220" t="str">
            <v>Ostali nespomenuti financijski rashodi</v>
          </cell>
          <cell r="C220" t="str">
            <v>3434</v>
          </cell>
          <cell r="D220">
            <v>0</v>
          </cell>
          <cell r="E220">
            <v>0</v>
          </cell>
        </row>
        <row r="221">
          <cell r="A221">
            <v>35</v>
          </cell>
          <cell r="B221" t="str">
            <v>Subvencije (šifre 351+352+353)</v>
          </cell>
          <cell r="C221" t="str">
            <v>35</v>
          </cell>
          <cell r="D221">
            <v>0</v>
          </cell>
          <cell r="E221">
            <v>0</v>
          </cell>
        </row>
        <row r="222">
          <cell r="A222">
            <v>351</v>
          </cell>
          <cell r="B222" t="str">
            <v>Subvencije kreditnim i ostalim financijskim institucijama i trgovačkim društvima u javnom sektoru (šifre 3511+3512)</v>
          </cell>
          <cell r="C222" t="str">
            <v>351</v>
          </cell>
          <cell r="D222">
            <v>0</v>
          </cell>
          <cell r="E222">
            <v>0</v>
          </cell>
        </row>
        <row r="223">
          <cell r="A223">
            <v>3511</v>
          </cell>
          <cell r="B223" t="str">
            <v>Subvencije kreditnim i ostalim financijskim institucijama u javnom sektoru</v>
          </cell>
          <cell r="C223" t="str">
            <v>3511</v>
          </cell>
          <cell r="D223">
            <v>0</v>
          </cell>
          <cell r="E223">
            <v>0</v>
          </cell>
        </row>
        <row r="224">
          <cell r="A224">
            <v>3512</v>
          </cell>
          <cell r="B224" t="str">
            <v>Subvencije trgovačkim društvima u javnom sektoru</v>
          </cell>
          <cell r="C224" t="str">
            <v>3512</v>
          </cell>
          <cell r="D224">
            <v>0</v>
          </cell>
          <cell r="E224">
            <v>0</v>
          </cell>
        </row>
        <row r="225">
          <cell r="A225">
            <v>352</v>
          </cell>
          <cell r="B225" t="str">
            <v>Subvencije kreditnim i financijskim institucijama, trgovačkim društvima, zadrugama, poljoprivrednicima i obrtnicima izvan javnog sektora (šifre 3521 do 3523)</v>
          </cell>
          <cell r="C225" t="str">
            <v>352</v>
          </cell>
          <cell r="D225">
            <v>0</v>
          </cell>
          <cell r="E225">
            <v>0</v>
          </cell>
        </row>
        <row r="226">
          <cell r="A226">
            <v>3521</v>
          </cell>
          <cell r="B226" t="str">
            <v>Subvencije kreditnim i ostalim financijskim institucijama izvan javnog sektora</v>
          </cell>
          <cell r="C226" t="str">
            <v>3521</v>
          </cell>
          <cell r="D226">
            <v>0</v>
          </cell>
          <cell r="E226">
            <v>0</v>
          </cell>
        </row>
        <row r="227">
          <cell r="A227">
            <v>3522</v>
          </cell>
          <cell r="B227" t="str">
            <v>Subvencije trgovačkim društvima i zadrugama izvan javnog sektora</v>
          </cell>
          <cell r="C227" t="str">
            <v>3522</v>
          </cell>
          <cell r="D227">
            <v>0</v>
          </cell>
          <cell r="E227">
            <v>0</v>
          </cell>
        </row>
        <row r="228">
          <cell r="A228">
            <v>3523</v>
          </cell>
          <cell r="B228" t="str">
            <v>Subvencije poljoprivrednicima i obrtnicima</v>
          </cell>
          <cell r="C228" t="str">
            <v>3523</v>
          </cell>
          <cell r="D228">
            <v>0</v>
          </cell>
          <cell r="E228">
            <v>0</v>
          </cell>
        </row>
        <row r="229">
          <cell r="A229" t="str">
            <v>353</v>
          </cell>
          <cell r="B229" t="str">
            <v xml:space="preserve">Subvencije trgovačkim društvima, zadrugama, poljoprivrednicima i obrtnicima iz EU sredstava </v>
          </cell>
          <cell r="C229" t="str">
            <v>353</v>
          </cell>
          <cell r="D229">
            <v>0</v>
          </cell>
          <cell r="E229">
            <v>0</v>
          </cell>
        </row>
        <row r="230">
          <cell r="A230">
            <v>36</v>
          </cell>
          <cell r="B230" t="str">
            <v>Pomoći dane u inozemstvo i unutar općeg proračuna (šifre 361+362+363+365+366+367+368+369)</v>
          </cell>
          <cell r="C230" t="str">
            <v>36</v>
          </cell>
          <cell r="D230">
            <v>0</v>
          </cell>
          <cell r="E230">
            <v>0</v>
          </cell>
        </row>
        <row r="231">
          <cell r="A231">
            <v>361</v>
          </cell>
          <cell r="B231" t="str">
            <v>Pomoći inozemnim vladama (šifre 3611+3612)</v>
          </cell>
          <cell r="C231" t="str">
            <v>361</v>
          </cell>
          <cell r="D231">
            <v>0</v>
          </cell>
          <cell r="E231">
            <v>0</v>
          </cell>
        </row>
        <row r="232">
          <cell r="A232">
            <v>3611</v>
          </cell>
          <cell r="B232" t="str">
            <v>Tekuće pomoći inozemnim vladama</v>
          </cell>
          <cell r="C232" t="str">
            <v>3611</v>
          </cell>
          <cell r="D232">
            <v>0</v>
          </cell>
          <cell r="E232">
            <v>0</v>
          </cell>
        </row>
        <row r="233">
          <cell r="A233">
            <v>3612</v>
          </cell>
          <cell r="B233" t="str">
            <v>Kapitalne pomoći inozemnim vladama</v>
          </cell>
          <cell r="C233" t="str">
            <v>3612</v>
          </cell>
          <cell r="D233">
            <v>0</v>
          </cell>
          <cell r="E233">
            <v>0</v>
          </cell>
        </row>
        <row r="234">
          <cell r="A234">
            <v>362</v>
          </cell>
          <cell r="B234" t="str">
            <v>Pomoći međunarodnim organizacijama te institucijama i tijelima EU (šifre 3621+3622)</v>
          </cell>
          <cell r="C234" t="str">
            <v>362</v>
          </cell>
          <cell r="D234">
            <v>0</v>
          </cell>
          <cell r="E234">
            <v>0</v>
          </cell>
        </row>
        <row r="235">
          <cell r="A235">
            <v>3621</v>
          </cell>
          <cell r="B235" t="str">
            <v>Tekuće pomoći međunarodnim organizacijama te institucijama i tijelima EU</v>
          </cell>
          <cell r="C235" t="str">
            <v>3621</v>
          </cell>
          <cell r="D235">
            <v>0</v>
          </cell>
          <cell r="E235">
            <v>0</v>
          </cell>
        </row>
        <row r="236">
          <cell r="A236">
            <v>3622</v>
          </cell>
          <cell r="B236" t="str">
            <v>Kapitalne pomoći međunarodnim organizacijama te institucijama i tijelima EU</v>
          </cell>
          <cell r="C236" t="str">
            <v>3622</v>
          </cell>
          <cell r="D236">
            <v>0</v>
          </cell>
          <cell r="E236">
            <v>0</v>
          </cell>
        </row>
        <row r="237">
          <cell r="A237">
            <v>363</v>
          </cell>
          <cell r="B237" t="str">
            <v>Pomoći drugom proračunu i izvanproračunskim korisnicima (šifre 3631 do 3636)</v>
          </cell>
          <cell r="C237" t="str">
            <v>363</v>
          </cell>
          <cell r="D237">
            <v>0</v>
          </cell>
          <cell r="E237">
            <v>0</v>
          </cell>
        </row>
        <row r="238">
          <cell r="A238">
            <v>3631</v>
          </cell>
          <cell r="B238" t="str">
            <v>Tekuće pomoći drugom proračunu i izvanproračunskim korisnicima</v>
          </cell>
          <cell r="C238" t="str">
            <v>3631</v>
          </cell>
          <cell r="D238">
            <v>0</v>
          </cell>
          <cell r="E238">
            <v>0</v>
          </cell>
        </row>
        <row r="239">
          <cell r="A239">
            <v>3632</v>
          </cell>
          <cell r="B239" t="str">
            <v>Kapitalne pomoći drugom proračunu i izvanproračunskim korisnicima</v>
          </cell>
          <cell r="C239" t="str">
            <v>3632</v>
          </cell>
          <cell r="D239">
            <v>0</v>
          </cell>
          <cell r="E239">
            <v>0</v>
          </cell>
        </row>
        <row r="240">
          <cell r="A240" t="str">
            <v>3635</v>
          </cell>
          <cell r="B240" t="str">
            <v>Pomoći drugom proračunu i izvanproračunskim korisnicima po protestiranim jamstvima</v>
          </cell>
          <cell r="C240" t="str">
            <v>3635</v>
          </cell>
          <cell r="D240">
            <v>0</v>
          </cell>
          <cell r="E240">
            <v>0</v>
          </cell>
        </row>
        <row r="241">
          <cell r="A241" t="str">
            <v>3636</v>
          </cell>
          <cell r="B241" t="str">
            <v>Povrat pomoći primljenih iz drugih proračuna i od izvanproračunskih korisnika po protestiranim jamstvima</v>
          </cell>
          <cell r="C241" t="str">
            <v>3636</v>
          </cell>
          <cell r="D241">
            <v>0</v>
          </cell>
          <cell r="E241">
            <v>0</v>
          </cell>
        </row>
        <row r="242">
          <cell r="A242" t="str">
            <v>365</v>
          </cell>
          <cell r="B242" t="str">
            <v>Pomoći izravnanja za decentralizirane funkcije i fiskalnog izravnanja (šifre 3651 do 3653)</v>
          </cell>
          <cell r="C242" t="str">
            <v>365</v>
          </cell>
          <cell r="D242">
            <v>0</v>
          </cell>
          <cell r="E242">
            <v>0</v>
          </cell>
        </row>
        <row r="243">
          <cell r="A243" t="str">
            <v>3651</v>
          </cell>
          <cell r="B243" t="str">
            <v>Tekuće pomoći izravnanja za decentralizirane funkcije</v>
          </cell>
          <cell r="C243" t="str">
            <v>3651</v>
          </cell>
          <cell r="D243">
            <v>0</v>
          </cell>
          <cell r="E243">
            <v>0</v>
          </cell>
        </row>
        <row r="244">
          <cell r="A244" t="str">
            <v>3652</v>
          </cell>
          <cell r="B244" t="str">
            <v>Kapitalne pomoći izravnanja za decentralizirane funkcije</v>
          </cell>
          <cell r="C244" t="str">
            <v>3652</v>
          </cell>
          <cell r="D244">
            <v>0</v>
          </cell>
          <cell r="E244">
            <v>0</v>
          </cell>
        </row>
        <row r="245">
          <cell r="A245" t="str">
            <v>3653</v>
          </cell>
          <cell r="B245" t="str">
            <v>Pomoći fiskalnog izravnanja</v>
          </cell>
          <cell r="C245" t="str">
            <v>3653</v>
          </cell>
          <cell r="D245">
            <v>0</v>
          </cell>
          <cell r="E245">
            <v>0</v>
          </cell>
        </row>
        <row r="246">
          <cell r="A246" t="str">
            <v>366</v>
          </cell>
          <cell r="B246" t="str">
            <v>Pomoći proračunskim korisnicima drugih proračuna (šifre 3661 do 3663)</v>
          </cell>
          <cell r="C246" t="str">
            <v>366</v>
          </cell>
          <cell r="D246">
            <v>0</v>
          </cell>
          <cell r="E246">
            <v>0</v>
          </cell>
        </row>
        <row r="247">
          <cell r="A247" t="str">
            <v>3661</v>
          </cell>
          <cell r="B247" t="str">
            <v>Tekuće pomoći proračunskim korisnicima drugih proračuna</v>
          </cell>
          <cell r="C247" t="str">
            <v>3661</v>
          </cell>
          <cell r="D247">
            <v>0</v>
          </cell>
          <cell r="E247">
            <v>0</v>
          </cell>
        </row>
        <row r="248">
          <cell r="A248" t="str">
            <v>3662</v>
          </cell>
          <cell r="B248" t="str">
            <v>Kapitalne pomoći proračunskim korisnicima drugih proračuna</v>
          </cell>
          <cell r="C248" t="str">
            <v>3662</v>
          </cell>
          <cell r="D248">
            <v>0</v>
          </cell>
          <cell r="E248">
            <v>0</v>
          </cell>
        </row>
        <row r="249">
          <cell r="A249" t="str">
            <v>3663</v>
          </cell>
          <cell r="B249" t="str">
            <v>Pomoći proračunskim korisnicima po protestiranim jamstvima</v>
          </cell>
          <cell r="C249" t="str">
            <v>3663</v>
          </cell>
          <cell r="D249">
            <v>0</v>
          </cell>
          <cell r="E249">
            <v>0</v>
          </cell>
        </row>
        <row r="250">
          <cell r="A250" t="str">
            <v>367</v>
          </cell>
          <cell r="B250" t="str">
            <v>Prijenosi proračunskim korisnicima iz nadležnog proračuna za financiranje redovne djelatnosti (šifre 3672 do 3674)</v>
          </cell>
          <cell r="C250" t="str">
            <v>367</v>
          </cell>
          <cell r="D250">
            <v>0</v>
          </cell>
          <cell r="E250">
            <v>0</v>
          </cell>
        </row>
        <row r="251">
          <cell r="A251">
            <v>3672</v>
          </cell>
          <cell r="B251" t="str">
            <v>Prijenosi proračunskim korisnicima iz nadležnog proračuna za financiranje rashoda poslovanja</v>
          </cell>
          <cell r="C251" t="str">
            <v>3672</v>
          </cell>
          <cell r="D251">
            <v>0</v>
          </cell>
          <cell r="E251">
            <v>0</v>
          </cell>
        </row>
        <row r="252">
          <cell r="A252">
            <v>3673</v>
          </cell>
          <cell r="B252" t="str">
            <v>Prijenosi proračunskim korisnicima iz nadležnog proračuna za nabavu nefinancijske imovine</v>
          </cell>
          <cell r="C252" t="str">
            <v>3673</v>
          </cell>
          <cell r="D252">
            <v>0</v>
          </cell>
          <cell r="E252">
            <v>0</v>
          </cell>
        </row>
        <row r="253">
          <cell r="A253">
            <v>3674</v>
          </cell>
          <cell r="B253" t="str">
            <v>Prijenosi proračunskim korisnicima iz nadležnog proračuna za financijsku imovinu i otplatu zajmova</v>
          </cell>
          <cell r="C253" t="str">
            <v>3674</v>
          </cell>
          <cell r="D253">
            <v>0</v>
          </cell>
          <cell r="E253">
            <v>0</v>
          </cell>
        </row>
        <row r="254">
          <cell r="A254" t="str">
            <v>368</v>
          </cell>
          <cell r="B254" t="str">
            <v>Pomoći temeljem prijenosa EU sredstava (šifre 3681+3682)</v>
          </cell>
          <cell r="C254" t="str">
            <v>368</v>
          </cell>
          <cell r="D254">
            <v>0</v>
          </cell>
          <cell r="E254">
            <v>0</v>
          </cell>
        </row>
        <row r="255">
          <cell r="A255" t="str">
            <v>3681</v>
          </cell>
          <cell r="B255" t="str">
            <v>Tekuće pomoći temeljem prijenosa EU sredstava</v>
          </cell>
          <cell r="C255" t="str">
            <v>3681</v>
          </cell>
          <cell r="D255">
            <v>0</v>
          </cell>
          <cell r="E255">
            <v>0</v>
          </cell>
        </row>
        <row r="256">
          <cell r="A256" t="str">
            <v>3682</v>
          </cell>
          <cell r="B256" t="str">
            <v>Kapitalne pomoći temeljem prijenosa EU sredstava</v>
          </cell>
          <cell r="C256" t="str">
            <v>3682</v>
          </cell>
          <cell r="D256">
            <v>0</v>
          </cell>
          <cell r="E256">
            <v>0</v>
          </cell>
        </row>
        <row r="257">
          <cell r="A257" t="str">
            <v>369</v>
          </cell>
          <cell r="B257" t="str">
            <v>Prijenosi između proračunskih korisnika istog proračuna (šifre 3691 do 3694)</v>
          </cell>
          <cell r="C257" t="str">
            <v>369</v>
          </cell>
          <cell r="D257">
            <v>0</v>
          </cell>
          <cell r="E257">
            <v>0</v>
          </cell>
        </row>
        <row r="258">
          <cell r="A258" t="str">
            <v>3691</v>
          </cell>
          <cell r="B258" t="str">
            <v>Tekući prijenosi između proračunskih korisnika istog proračuna</v>
          </cell>
          <cell r="C258" t="str">
            <v>3691</v>
          </cell>
          <cell r="D258">
            <v>0</v>
          </cell>
          <cell r="E258">
            <v>0</v>
          </cell>
        </row>
        <row r="259">
          <cell r="A259" t="str">
            <v>3692</v>
          </cell>
          <cell r="B259" t="str">
            <v>Kapitalni prijenosi između proračunskih korisnika istog proračuna</v>
          </cell>
          <cell r="C259" t="str">
            <v>3692</v>
          </cell>
          <cell r="D259">
            <v>0</v>
          </cell>
          <cell r="E259">
            <v>0</v>
          </cell>
        </row>
        <row r="260">
          <cell r="A260" t="str">
            <v>3693</v>
          </cell>
          <cell r="B260" t="str">
            <v>Tekući prijenosi između proračunskih korisnika istog proračuna temeljem prijenosa EU sredstava</v>
          </cell>
          <cell r="C260" t="str">
            <v>3693</v>
          </cell>
          <cell r="D260">
            <v>0</v>
          </cell>
          <cell r="E260">
            <v>0</v>
          </cell>
        </row>
        <row r="261">
          <cell r="A261" t="str">
            <v>3694</v>
          </cell>
          <cell r="B261" t="str">
            <v>Kapitalni prijenosi između proračunskih korisnika istog proračuna temeljem prijenosa EU sredstava</v>
          </cell>
          <cell r="C261" t="str">
            <v>3694</v>
          </cell>
          <cell r="D261">
            <v>0</v>
          </cell>
          <cell r="E261">
            <v>0</v>
          </cell>
        </row>
        <row r="262">
          <cell r="A262">
            <v>37</v>
          </cell>
          <cell r="B262" t="str">
            <v>Naknade građanima i kućanstvima na temelju osiguranja i druge naknade (šifre 371+372)</v>
          </cell>
          <cell r="C262" t="str">
            <v>37</v>
          </cell>
          <cell r="D262">
            <v>0</v>
          </cell>
          <cell r="E262">
            <v>0</v>
          </cell>
        </row>
        <row r="263">
          <cell r="A263">
            <v>371</v>
          </cell>
          <cell r="B263" t="str">
            <v>Naknade građanima i kućanstvima na temelju osiguranja (šifre 3711 do 3715)</v>
          </cell>
          <cell r="C263" t="str">
            <v>371</v>
          </cell>
          <cell r="D263">
            <v>0</v>
          </cell>
          <cell r="E263">
            <v>0</v>
          </cell>
        </row>
        <row r="264">
          <cell r="A264">
            <v>3711</v>
          </cell>
          <cell r="B264" t="str">
            <v>Naknade građanima i kućanstvima u novcu - neposredno ili putem ustanova izvan javnog sektora</v>
          </cell>
          <cell r="C264" t="str">
            <v>3711</v>
          </cell>
          <cell r="D264">
            <v>0</v>
          </cell>
          <cell r="E264">
            <v>0</v>
          </cell>
        </row>
        <row r="265">
          <cell r="A265">
            <v>3712</v>
          </cell>
          <cell r="B265" t="str">
            <v>Naknade građanima i kućanstvima u naravi - neposredno ili putem ustanova izvan javnog sektora</v>
          </cell>
          <cell r="C265" t="str">
            <v>3712</v>
          </cell>
          <cell r="D265">
            <v>0</v>
          </cell>
          <cell r="E265">
            <v>0</v>
          </cell>
        </row>
        <row r="266">
          <cell r="A266" t="str">
            <v>3713</v>
          </cell>
          <cell r="B266" t="str">
            <v>Naknade građanima i kućanstvima u novcu - putem ustanova u javnom sektoru</v>
          </cell>
          <cell r="C266" t="str">
            <v>3713</v>
          </cell>
          <cell r="D266">
            <v>0</v>
          </cell>
          <cell r="E266">
            <v>0</v>
          </cell>
        </row>
        <row r="267">
          <cell r="A267" t="str">
            <v>3714</v>
          </cell>
          <cell r="B267" t="str">
            <v>Naknade građanima i kućanstvima u naravi - putem ustanova u javnom sektoru</v>
          </cell>
          <cell r="C267" t="str">
            <v>3714</v>
          </cell>
          <cell r="D267">
            <v>0</v>
          </cell>
          <cell r="E267">
            <v>0</v>
          </cell>
        </row>
        <row r="268">
          <cell r="A268" t="str">
            <v>3715</v>
          </cell>
          <cell r="B268" t="str">
            <v>Naknade građanima i kućanstvima na temelju osiguranja iz EU sredstava</v>
          </cell>
          <cell r="C268" t="str">
            <v>3715</v>
          </cell>
          <cell r="D268">
            <v>0</v>
          </cell>
          <cell r="E268">
            <v>0</v>
          </cell>
        </row>
        <row r="269">
          <cell r="A269">
            <v>372</v>
          </cell>
          <cell r="B269" t="str">
            <v xml:space="preserve">Ostale naknade građanima i kućanstvima iz proračuna (šifre 3721 do 3723) </v>
          </cell>
          <cell r="C269" t="str">
            <v>372</v>
          </cell>
          <cell r="D269">
            <v>0</v>
          </cell>
          <cell r="E269">
            <v>0</v>
          </cell>
        </row>
        <row r="270">
          <cell r="A270">
            <v>3721</v>
          </cell>
          <cell r="B270" t="str">
            <v xml:space="preserve">Naknade građanima i kućanstvima u novcu </v>
          </cell>
          <cell r="C270" t="str">
            <v>3721</v>
          </cell>
          <cell r="D270">
            <v>0</v>
          </cell>
          <cell r="E270">
            <v>0</v>
          </cell>
        </row>
        <row r="271">
          <cell r="A271">
            <v>3722</v>
          </cell>
          <cell r="B271" t="str">
            <v>Naknade građanima i kućanstvima u naravi</v>
          </cell>
          <cell r="C271" t="str">
            <v>3722</v>
          </cell>
          <cell r="D271">
            <v>0</v>
          </cell>
          <cell r="E271">
            <v>0</v>
          </cell>
        </row>
        <row r="272">
          <cell r="A272" t="str">
            <v>3723</v>
          </cell>
          <cell r="B272" t="str">
            <v>Naknade građanima i kućanstvima iz EU sredstava</v>
          </cell>
          <cell r="C272" t="str">
            <v>3723</v>
          </cell>
          <cell r="D272">
            <v>0</v>
          </cell>
          <cell r="E272">
            <v>0</v>
          </cell>
        </row>
        <row r="273">
          <cell r="A273">
            <v>38</v>
          </cell>
          <cell r="B273" t="str">
            <v>Rashodi za donacije, kazne, naknade šteta i kapitalne pomoći (šifre 381+382+383+386)</v>
          </cell>
          <cell r="C273" t="str">
            <v>38</v>
          </cell>
          <cell r="D273">
            <v>0</v>
          </cell>
          <cell r="E273">
            <v>0</v>
          </cell>
        </row>
        <row r="274">
          <cell r="A274">
            <v>381</v>
          </cell>
          <cell r="B274" t="str">
            <v xml:space="preserve">Tekuće donacije (šifre 3811 do 3813) </v>
          </cell>
          <cell r="C274" t="str">
            <v>381</v>
          </cell>
          <cell r="D274">
            <v>0</v>
          </cell>
          <cell r="E274">
            <v>0</v>
          </cell>
        </row>
        <row r="275">
          <cell r="A275">
            <v>3811</v>
          </cell>
          <cell r="B275" t="str">
            <v>Tekuće donacije u novcu</v>
          </cell>
          <cell r="C275" t="str">
            <v>3811</v>
          </cell>
          <cell r="D275">
            <v>0</v>
          </cell>
          <cell r="E275">
            <v>0</v>
          </cell>
        </row>
        <row r="276">
          <cell r="A276">
            <v>3812</v>
          </cell>
          <cell r="B276" t="str">
            <v>Tekuće donacije u naravi</v>
          </cell>
          <cell r="C276" t="str">
            <v>3812</v>
          </cell>
          <cell r="D276">
            <v>0</v>
          </cell>
          <cell r="E276">
            <v>0</v>
          </cell>
        </row>
        <row r="277">
          <cell r="A277" t="str">
            <v>3813</v>
          </cell>
          <cell r="B277" t="str">
            <v>Tekuće donacije iz EU sredstava</v>
          </cell>
          <cell r="C277" t="str">
            <v>3813</v>
          </cell>
          <cell r="D277">
            <v>0</v>
          </cell>
          <cell r="E277">
            <v>0</v>
          </cell>
        </row>
        <row r="278">
          <cell r="A278">
            <v>382</v>
          </cell>
          <cell r="B278" t="str">
            <v xml:space="preserve">Kapitalne donacije (šifre 3821 do 3824) </v>
          </cell>
          <cell r="C278" t="str">
            <v>382</v>
          </cell>
          <cell r="D278">
            <v>0</v>
          </cell>
          <cell r="E278">
            <v>0</v>
          </cell>
        </row>
        <row r="279">
          <cell r="A279">
            <v>3821</v>
          </cell>
          <cell r="B279" t="str">
            <v>Kapitalne donacije neprofitnim organizacijama</v>
          </cell>
          <cell r="C279" t="str">
            <v>3821</v>
          </cell>
          <cell r="D279">
            <v>0</v>
          </cell>
          <cell r="E279">
            <v>0</v>
          </cell>
        </row>
        <row r="280">
          <cell r="A280">
            <v>3822</v>
          </cell>
          <cell r="B280" t="str">
            <v>Kapitalne donacije građanima i kućanstvima</v>
          </cell>
          <cell r="C280" t="str">
            <v>3822</v>
          </cell>
          <cell r="D280">
            <v>0</v>
          </cell>
          <cell r="E280">
            <v>0</v>
          </cell>
        </row>
        <row r="281">
          <cell r="A281" t="str">
            <v>3823</v>
          </cell>
          <cell r="B281" t="str">
            <v>Kapitalne donacije iz EU sredstava</v>
          </cell>
          <cell r="C281" t="str">
            <v>3823</v>
          </cell>
          <cell r="D281">
            <v>0</v>
          </cell>
          <cell r="E281">
            <v>0</v>
          </cell>
        </row>
        <row r="282">
          <cell r="A282" t="str">
            <v>3824</v>
          </cell>
          <cell r="B282" t="str">
            <v>Donacije neprofitnim organizacijama, građanima i kućanstvima u tuzemstvu po protestiranim jamstvima</v>
          </cell>
          <cell r="C282" t="str">
            <v>3824</v>
          </cell>
          <cell r="D282">
            <v>0</v>
          </cell>
          <cell r="E282">
            <v>0</v>
          </cell>
        </row>
        <row r="283">
          <cell r="A283">
            <v>383</v>
          </cell>
          <cell r="B283" t="str">
            <v>Kazne, penali i naknade štete (šifre 3831 do 3835)</v>
          </cell>
          <cell r="C283" t="str">
            <v>383</v>
          </cell>
          <cell r="D283">
            <v>0</v>
          </cell>
          <cell r="E283">
            <v>0</v>
          </cell>
        </row>
        <row r="284">
          <cell r="A284">
            <v>3831</v>
          </cell>
          <cell r="B284" t="str">
            <v>Naknade šteta pravnim i fizičkim osobama</v>
          </cell>
          <cell r="C284" t="str">
            <v>3831</v>
          </cell>
          <cell r="D284">
            <v>0</v>
          </cell>
          <cell r="E284">
            <v>0</v>
          </cell>
        </row>
        <row r="285">
          <cell r="A285">
            <v>3832</v>
          </cell>
          <cell r="B285" t="str">
            <v>Penali, ležarine i drugo</v>
          </cell>
          <cell r="C285" t="str">
            <v>3832</v>
          </cell>
          <cell r="D285">
            <v>0</v>
          </cell>
          <cell r="E285">
            <v>0</v>
          </cell>
        </row>
        <row r="286">
          <cell r="A286">
            <v>3833</v>
          </cell>
          <cell r="B286" t="str">
            <v xml:space="preserve">Naknade šteta zaposlenicima </v>
          </cell>
          <cell r="C286" t="str">
            <v>3833</v>
          </cell>
          <cell r="D286">
            <v>0</v>
          </cell>
          <cell r="E286">
            <v>0</v>
          </cell>
        </row>
        <row r="287">
          <cell r="A287">
            <v>3834</v>
          </cell>
          <cell r="B287" t="str">
            <v>Ugovorene kazne i ostale naknade šteta</v>
          </cell>
          <cell r="C287" t="str">
            <v>3834</v>
          </cell>
          <cell r="D287">
            <v>0</v>
          </cell>
          <cell r="E287">
            <v>0</v>
          </cell>
        </row>
        <row r="288">
          <cell r="A288" t="str">
            <v>3835</v>
          </cell>
          <cell r="B288" t="str">
            <v>Ostale kazne</v>
          </cell>
          <cell r="C288" t="str">
            <v>3835</v>
          </cell>
          <cell r="D288">
            <v>0</v>
          </cell>
          <cell r="E288">
            <v>0</v>
          </cell>
        </row>
        <row r="289">
          <cell r="A289">
            <v>386</v>
          </cell>
          <cell r="B289" t="str">
            <v>Kapitalne pomoći (šifre 3861 do 3865)</v>
          </cell>
          <cell r="C289" t="str">
            <v>386</v>
          </cell>
          <cell r="D289">
            <v>0</v>
          </cell>
          <cell r="E289">
            <v>0</v>
          </cell>
        </row>
        <row r="290">
          <cell r="A290">
            <v>3861</v>
          </cell>
          <cell r="B290" t="str">
            <v>Kapitalne pomoći kreditnim i ostalim financijskim institucijama te trgovačkim društvima u javnom sektoru</v>
          </cell>
          <cell r="C290" t="str">
            <v>3861</v>
          </cell>
          <cell r="D290">
            <v>0</v>
          </cell>
          <cell r="E290">
            <v>0</v>
          </cell>
        </row>
        <row r="291">
          <cell r="A291">
            <v>3862</v>
          </cell>
          <cell r="B291" t="str">
            <v>Kapitalne pomoći kreditnim i ostalim financijskim institucijama te trgovačkim društvima i zadrugama izvan javnog sektora</v>
          </cell>
          <cell r="C291" t="str">
            <v>3862</v>
          </cell>
          <cell r="D291">
            <v>0</v>
          </cell>
          <cell r="E291">
            <v>0</v>
          </cell>
        </row>
        <row r="292">
          <cell r="A292">
            <v>3863</v>
          </cell>
          <cell r="B292" t="str">
            <v>Kapitalne pomoći poljoprivrednicima i obrtnicima</v>
          </cell>
          <cell r="C292" t="str">
            <v>3863</v>
          </cell>
          <cell r="D292">
            <v>0</v>
          </cell>
          <cell r="E292">
            <v>0</v>
          </cell>
        </row>
        <row r="293">
          <cell r="A293" t="str">
            <v>3864</v>
          </cell>
          <cell r="B293" t="str">
            <v xml:space="preserve">Kapitalne pomoći iz EU sredstava </v>
          </cell>
          <cell r="C293" t="str">
            <v>3864</v>
          </cell>
          <cell r="D293">
            <v>0</v>
          </cell>
          <cell r="E293">
            <v>0</v>
          </cell>
        </row>
        <row r="294">
          <cell r="A294" t="str">
            <v>3865</v>
          </cell>
          <cell r="B294" t="str">
            <v>Kapitalne pomoći trgovačkim društvima i obrtnicima po protestiranim jamstvima u tuzemstvu i inozemstvu</v>
          </cell>
          <cell r="C294" t="str">
            <v>3865</v>
          </cell>
          <cell r="D294">
            <v>0</v>
          </cell>
          <cell r="E294">
            <v>0</v>
          </cell>
        </row>
        <row r="295">
          <cell r="A295" t="str">
            <v xml:space="preserve"> </v>
          </cell>
          <cell r="B295" t="str">
            <v>Stanje zaliha proizvodnje i gotovih proizvoda na početku razdoblja</v>
          </cell>
          <cell r="C295" t="str">
            <v>Z001</v>
          </cell>
          <cell r="D295">
            <v>0</v>
          </cell>
          <cell r="E295">
            <v>0</v>
          </cell>
        </row>
        <row r="296">
          <cell r="A296" t="str">
            <v xml:space="preserve"> </v>
          </cell>
          <cell r="B296" t="str">
            <v xml:space="preserve">Stanje zaliha proizvodnje i gotovih proizvoda na kraju razdoblja </v>
          </cell>
          <cell r="C296" t="str">
            <v>Z002</v>
          </cell>
          <cell r="D296">
            <v>0</v>
          </cell>
          <cell r="E296">
            <v>0</v>
          </cell>
        </row>
        <row r="297">
          <cell r="A297" t="str">
            <v xml:space="preserve"> </v>
          </cell>
          <cell r="B297" t="str">
            <v>Povećanje zaliha proizvodnje i gotovih proizvoda (šifre Z002-Z001)</v>
          </cell>
          <cell r="C297" t="str">
            <v>Z003</v>
          </cell>
          <cell r="D297">
            <v>0</v>
          </cell>
          <cell r="E297">
            <v>0</v>
          </cell>
        </row>
        <row r="298">
          <cell r="A298" t="str">
            <v xml:space="preserve"> </v>
          </cell>
          <cell r="B298" t="str">
            <v xml:space="preserve">Smanjenje zaliha proizvodnje i gotovih proizvoda (šifre Z001-Z002) </v>
          </cell>
          <cell r="C298" t="str">
            <v>Z004</v>
          </cell>
          <cell r="D298">
            <v>0</v>
          </cell>
          <cell r="E298">
            <v>0</v>
          </cell>
        </row>
        <row r="299">
          <cell r="A299" t="str">
            <v xml:space="preserve"> </v>
          </cell>
          <cell r="B299" t="str">
            <v>Ukupni rashodi poslovanja (šifre 3-Z003+Z004)</v>
          </cell>
          <cell r="C299" t="str">
            <v>Z005</v>
          </cell>
          <cell r="D299">
            <v>16962960.170000002</v>
          </cell>
          <cell r="E299">
            <v>21015642.209999997</v>
          </cell>
        </row>
        <row r="300">
          <cell r="A300" t="str">
            <v xml:space="preserve"> </v>
          </cell>
          <cell r="B300" t="str">
            <v xml:space="preserve">VIŠAK PRIHODA POSLOVANJA (šifre 6-Z005) </v>
          </cell>
          <cell r="C300" t="str">
            <v>X001</v>
          </cell>
          <cell r="D300">
            <v>1564451.8099999987</v>
          </cell>
          <cell r="E300">
            <v>1805615.6500000022</v>
          </cell>
        </row>
        <row r="301">
          <cell r="A301" t="str">
            <v xml:space="preserve"> </v>
          </cell>
          <cell r="B301" t="str">
            <v>MANJAK PRIHODA POSLOVANJA (šifre Z005-6)</v>
          </cell>
          <cell r="C301" t="str">
            <v>Y001</v>
          </cell>
          <cell r="D301">
            <v>0</v>
          </cell>
          <cell r="E301">
            <v>0</v>
          </cell>
        </row>
        <row r="302">
          <cell r="A302">
            <v>92211</v>
          </cell>
          <cell r="B302" t="str">
            <v>Višak prihoda poslovanja - preneseni</v>
          </cell>
          <cell r="C302" t="str">
            <v>92211</v>
          </cell>
          <cell r="D302">
            <v>9066.76</v>
          </cell>
          <cell r="E302">
            <v>0</v>
          </cell>
        </row>
        <row r="303">
          <cell r="A303">
            <v>92221</v>
          </cell>
          <cell r="B303" t="str">
            <v>Manjak prihoda poslovanja - preneseni</v>
          </cell>
          <cell r="C303" t="str">
            <v>92221</v>
          </cell>
          <cell r="D303">
            <v>0</v>
          </cell>
          <cell r="E303">
            <v>0</v>
          </cell>
        </row>
        <row r="304">
          <cell r="A304">
            <v>96</v>
          </cell>
          <cell r="B304" t="str">
            <v>Obračunati prihodi poslovanja - nenaplaćeni</v>
          </cell>
          <cell r="C304" t="str">
            <v>96</v>
          </cell>
          <cell r="D304">
            <v>1311.49</v>
          </cell>
          <cell r="E304">
            <v>14604.56</v>
          </cell>
        </row>
        <row r="305">
          <cell r="A305">
            <v>9661</v>
          </cell>
          <cell r="B305" t="str">
            <v>Prihodi od prodaje proizvoda i robe i pruženih usluga - nenaplaćeni</v>
          </cell>
          <cell r="C305" t="str">
            <v>9661</v>
          </cell>
          <cell r="D305">
            <v>224.09</v>
          </cell>
          <cell r="E305">
            <v>224.09</v>
          </cell>
        </row>
        <row r="306">
          <cell r="A306" t="str">
            <v>9673</v>
          </cell>
          <cell r="B306" t="str">
            <v>Obračunati prihodi od HZZO-a na temelju ugovornih obveza</v>
          </cell>
          <cell r="C306" t="str">
            <v>9673</v>
          </cell>
          <cell r="D306">
            <v>0</v>
          </cell>
          <cell r="E306">
            <v>0</v>
          </cell>
        </row>
        <row r="307">
          <cell r="A307" t="str">
            <v>Prihodi i rashodi od nefinancijske imovine</v>
          </cell>
          <cell r="B307"/>
          <cell r="C307"/>
          <cell r="D307"/>
          <cell r="E307"/>
        </row>
        <row r="308">
          <cell r="A308">
            <v>7</v>
          </cell>
          <cell r="B308" t="str">
            <v>Prihodi od prodaje nefinancijske imovine (šifre 71+72+73+74)</v>
          </cell>
          <cell r="C308" t="str">
            <v>7</v>
          </cell>
          <cell r="D308">
            <v>105.89</v>
          </cell>
          <cell r="E308">
            <v>0</v>
          </cell>
        </row>
        <row r="309">
          <cell r="A309">
            <v>71</v>
          </cell>
          <cell r="B309" t="str">
            <v>Prihodi od prodaje neproizvedene dugotrajne imovine (šifre 711+712)</v>
          </cell>
          <cell r="C309" t="str">
            <v>71</v>
          </cell>
          <cell r="D309">
            <v>0</v>
          </cell>
          <cell r="E309">
            <v>0</v>
          </cell>
        </row>
        <row r="310">
          <cell r="A310">
            <v>711</v>
          </cell>
          <cell r="B310" t="str">
            <v>Prihodi od prodaje materijalne imovine - prirodnih bogatstava (šifre 7111 do 7113)</v>
          </cell>
          <cell r="C310" t="str">
            <v>711</v>
          </cell>
          <cell r="D310">
            <v>0</v>
          </cell>
          <cell r="E310">
            <v>0</v>
          </cell>
        </row>
        <row r="311">
          <cell r="A311">
            <v>7111</v>
          </cell>
          <cell r="B311" t="str">
            <v>Zemljište</v>
          </cell>
          <cell r="C311" t="str">
            <v>7111</v>
          </cell>
          <cell r="D311">
            <v>0</v>
          </cell>
          <cell r="E311">
            <v>0</v>
          </cell>
        </row>
        <row r="312">
          <cell r="A312">
            <v>7112</v>
          </cell>
          <cell r="B312" t="str">
            <v>Rudna bogatstva</v>
          </cell>
          <cell r="C312" t="str">
            <v>7112</v>
          </cell>
          <cell r="D312">
            <v>0</v>
          </cell>
          <cell r="E312">
            <v>0</v>
          </cell>
        </row>
        <row r="313">
          <cell r="A313">
            <v>7113</v>
          </cell>
          <cell r="B313" t="str">
            <v>Prihodi od prodaje ostale prirodne materijalne imovine</v>
          </cell>
          <cell r="C313" t="str">
            <v>7113</v>
          </cell>
          <cell r="D313">
            <v>0</v>
          </cell>
          <cell r="E313">
            <v>0</v>
          </cell>
        </row>
        <row r="314">
          <cell r="A314">
            <v>712</v>
          </cell>
          <cell r="B314" t="str">
            <v>Prihodi od prodaje nematerijalne imovine (šifre 7121 do 7126)</v>
          </cell>
          <cell r="C314" t="str">
            <v>712</v>
          </cell>
          <cell r="D314">
            <v>0</v>
          </cell>
          <cell r="E314">
            <v>0</v>
          </cell>
        </row>
        <row r="315">
          <cell r="A315">
            <v>7121</v>
          </cell>
          <cell r="B315" t="str">
            <v>Patenti</v>
          </cell>
          <cell r="C315" t="str">
            <v>7121</v>
          </cell>
          <cell r="D315">
            <v>0</v>
          </cell>
          <cell r="E315">
            <v>0</v>
          </cell>
        </row>
        <row r="316">
          <cell r="A316">
            <v>7122</v>
          </cell>
          <cell r="B316" t="str">
            <v>Koncesije</v>
          </cell>
          <cell r="C316" t="str">
            <v>7122</v>
          </cell>
          <cell r="D316">
            <v>0</v>
          </cell>
          <cell r="E316">
            <v>0</v>
          </cell>
        </row>
        <row r="317">
          <cell r="A317">
            <v>7123</v>
          </cell>
          <cell r="B317" t="str">
            <v>Licence</v>
          </cell>
          <cell r="C317" t="str">
            <v>7123</v>
          </cell>
          <cell r="D317">
            <v>0</v>
          </cell>
          <cell r="E317">
            <v>0</v>
          </cell>
        </row>
        <row r="318">
          <cell r="A318">
            <v>7124</v>
          </cell>
          <cell r="B318" t="str">
            <v>Ostala prava</v>
          </cell>
          <cell r="C318" t="str">
            <v>7124</v>
          </cell>
          <cell r="D318">
            <v>0</v>
          </cell>
          <cell r="E318">
            <v>0</v>
          </cell>
        </row>
        <row r="319">
          <cell r="A319">
            <v>7125</v>
          </cell>
          <cell r="B319" t="str">
            <v>Goodwill</v>
          </cell>
          <cell r="C319" t="str">
            <v>7125</v>
          </cell>
          <cell r="D319">
            <v>0</v>
          </cell>
          <cell r="E319">
            <v>0</v>
          </cell>
        </row>
        <row r="320">
          <cell r="A320">
            <v>7126</v>
          </cell>
          <cell r="B320" t="str">
            <v>Ostala nematerijalna imovina</v>
          </cell>
          <cell r="C320" t="str">
            <v>7126</v>
          </cell>
          <cell r="D320">
            <v>0</v>
          </cell>
          <cell r="E320">
            <v>0</v>
          </cell>
        </row>
        <row r="321">
          <cell r="A321">
            <v>72</v>
          </cell>
          <cell r="B321" t="str">
            <v>Prihodi od prodaje proizvedene dugotrajne imovine (šifre 721+722+723+724+725+726)</v>
          </cell>
          <cell r="C321" t="str">
            <v>72</v>
          </cell>
          <cell r="D321">
            <v>105.89</v>
          </cell>
          <cell r="E321">
            <v>0</v>
          </cell>
        </row>
        <row r="322">
          <cell r="A322">
            <v>721</v>
          </cell>
          <cell r="B322" t="str">
            <v>Prihodi od prodaje građevinskih objekata (šifre 7211 do 7214)</v>
          </cell>
          <cell r="C322" t="str">
            <v>721</v>
          </cell>
          <cell r="D322">
            <v>105.89</v>
          </cell>
          <cell r="E322">
            <v>0</v>
          </cell>
        </row>
        <row r="323">
          <cell r="A323">
            <v>7211</v>
          </cell>
          <cell r="B323" t="str">
            <v>Stambeni objekti</v>
          </cell>
          <cell r="C323" t="str">
            <v>7211</v>
          </cell>
          <cell r="D323">
            <v>105.89</v>
          </cell>
          <cell r="E323">
            <v>0</v>
          </cell>
        </row>
        <row r="324">
          <cell r="A324">
            <v>7212</v>
          </cell>
          <cell r="B324" t="str">
            <v>Poslovni objekti</v>
          </cell>
          <cell r="C324" t="str">
            <v>7212</v>
          </cell>
          <cell r="D324">
            <v>0</v>
          </cell>
          <cell r="E324">
            <v>0</v>
          </cell>
        </row>
        <row r="325">
          <cell r="A325">
            <v>7213</v>
          </cell>
          <cell r="B325" t="str">
            <v>Ceste, željeznice i ostali prometni objekti</v>
          </cell>
          <cell r="C325" t="str">
            <v>7213</v>
          </cell>
          <cell r="D325">
            <v>0</v>
          </cell>
          <cell r="E325">
            <v>0</v>
          </cell>
        </row>
        <row r="326">
          <cell r="A326">
            <v>7214</v>
          </cell>
          <cell r="B326" t="str">
            <v>Ostali građevinski objekti</v>
          </cell>
          <cell r="C326" t="str">
            <v>7214</v>
          </cell>
          <cell r="D326">
            <v>0</v>
          </cell>
          <cell r="E326">
            <v>0</v>
          </cell>
        </row>
        <row r="327">
          <cell r="A327">
            <v>722</v>
          </cell>
          <cell r="B327" t="str">
            <v>Prihodi od prodaje postrojenja i opreme (šifre 7221 do 7228)</v>
          </cell>
          <cell r="C327" t="str">
            <v>722</v>
          </cell>
          <cell r="D327">
            <v>0</v>
          </cell>
          <cell r="E327">
            <v>0</v>
          </cell>
        </row>
        <row r="328">
          <cell r="A328">
            <v>7221</v>
          </cell>
          <cell r="B328" t="str">
            <v>Uredska oprema i namještaj</v>
          </cell>
          <cell r="C328" t="str">
            <v>7221</v>
          </cell>
          <cell r="D328">
            <v>0</v>
          </cell>
          <cell r="E328">
            <v>0</v>
          </cell>
        </row>
        <row r="329">
          <cell r="A329">
            <v>7222</v>
          </cell>
          <cell r="B329" t="str">
            <v xml:space="preserve">Komunikacijska oprema </v>
          </cell>
          <cell r="C329" t="str">
            <v>7222</v>
          </cell>
          <cell r="D329">
            <v>0</v>
          </cell>
          <cell r="E329">
            <v>0</v>
          </cell>
        </row>
        <row r="330">
          <cell r="A330">
            <v>7223</v>
          </cell>
          <cell r="B330" t="str">
            <v>Oprema za održavanje i zaštitu</v>
          </cell>
          <cell r="C330" t="str">
            <v>7223</v>
          </cell>
          <cell r="D330">
            <v>0</v>
          </cell>
          <cell r="E330">
            <v>0</v>
          </cell>
        </row>
        <row r="331">
          <cell r="A331">
            <v>7224</v>
          </cell>
          <cell r="B331" t="str">
            <v>Medicinska i laboratorijska oprema</v>
          </cell>
          <cell r="C331" t="str">
            <v>7224</v>
          </cell>
          <cell r="D331">
            <v>0</v>
          </cell>
          <cell r="E331">
            <v>0</v>
          </cell>
        </row>
        <row r="332">
          <cell r="A332">
            <v>7225</v>
          </cell>
          <cell r="B332" t="str">
            <v>Instrumenti i uređaji</v>
          </cell>
          <cell r="C332" t="str">
            <v>7225</v>
          </cell>
          <cell r="D332">
            <v>0</v>
          </cell>
          <cell r="E332">
            <v>0</v>
          </cell>
        </row>
        <row r="333">
          <cell r="A333">
            <v>7226</v>
          </cell>
          <cell r="B333" t="str">
            <v>Sportska i glazbena oprema</v>
          </cell>
          <cell r="C333" t="str">
            <v>7226</v>
          </cell>
          <cell r="D333">
            <v>0</v>
          </cell>
          <cell r="E333">
            <v>0</v>
          </cell>
        </row>
        <row r="334">
          <cell r="A334">
            <v>7227</v>
          </cell>
          <cell r="B334" t="str">
            <v>Uređaji, strojevi i oprema za ostale namjene</v>
          </cell>
          <cell r="C334" t="str">
            <v>7227</v>
          </cell>
          <cell r="D334">
            <v>0</v>
          </cell>
          <cell r="E334">
            <v>0</v>
          </cell>
        </row>
        <row r="335">
          <cell r="A335" t="str">
            <v>7228</v>
          </cell>
          <cell r="B335" t="str">
            <v>Vojna oprema</v>
          </cell>
          <cell r="C335" t="str">
            <v>7228</v>
          </cell>
          <cell r="D335">
            <v>0</v>
          </cell>
          <cell r="E335">
            <v>0</v>
          </cell>
        </row>
        <row r="336">
          <cell r="A336">
            <v>723</v>
          </cell>
          <cell r="B336" t="str">
            <v>Prihodi od prodaje prijevoznih sredstava (šifre 7231 do 7234)</v>
          </cell>
          <cell r="C336" t="str">
            <v>723</v>
          </cell>
          <cell r="D336">
            <v>0</v>
          </cell>
          <cell r="E336">
            <v>0</v>
          </cell>
        </row>
        <row r="337">
          <cell r="A337">
            <v>7231</v>
          </cell>
          <cell r="B337" t="str">
            <v>Prijevozna sredstva u cestovnom prometu</v>
          </cell>
          <cell r="C337" t="str">
            <v>7231</v>
          </cell>
          <cell r="D337">
            <v>0</v>
          </cell>
          <cell r="E337">
            <v>0</v>
          </cell>
        </row>
        <row r="338">
          <cell r="A338">
            <v>7232</v>
          </cell>
          <cell r="B338" t="str">
            <v>Prijevozna sredstva u željezničkom prometu</v>
          </cell>
          <cell r="C338" t="str">
            <v>7232</v>
          </cell>
          <cell r="D338">
            <v>0</v>
          </cell>
          <cell r="E338">
            <v>0</v>
          </cell>
        </row>
        <row r="339">
          <cell r="A339">
            <v>7233</v>
          </cell>
          <cell r="B339" t="str">
            <v>Prijevozna sredstva u pomorskom i riječnom prometu</v>
          </cell>
          <cell r="C339" t="str">
            <v>7233</v>
          </cell>
          <cell r="D339">
            <v>0</v>
          </cell>
          <cell r="E339">
            <v>0</v>
          </cell>
        </row>
        <row r="340">
          <cell r="A340">
            <v>7234</v>
          </cell>
          <cell r="B340" t="str">
            <v>Prijevozna sredstva u zračnom prometu</v>
          </cell>
          <cell r="C340" t="str">
            <v>7234</v>
          </cell>
          <cell r="D340">
            <v>0</v>
          </cell>
          <cell r="E340">
            <v>0</v>
          </cell>
        </row>
        <row r="341">
          <cell r="A341">
            <v>724</v>
          </cell>
          <cell r="B341" t="str">
            <v>Prihodi od prodaje knjiga, umjetničkih djela i ostalih izložbenih vrijednosti (šifre 7241 do 7244)</v>
          </cell>
          <cell r="C341" t="str">
            <v>724</v>
          </cell>
          <cell r="D341">
            <v>0</v>
          </cell>
          <cell r="E341">
            <v>0</v>
          </cell>
        </row>
        <row r="342">
          <cell r="A342">
            <v>7241</v>
          </cell>
          <cell r="B342" t="str">
            <v>Knjige</v>
          </cell>
          <cell r="C342" t="str">
            <v>7241</v>
          </cell>
          <cell r="D342">
            <v>0</v>
          </cell>
          <cell r="E342">
            <v>0</v>
          </cell>
        </row>
        <row r="343">
          <cell r="A343">
            <v>7242</v>
          </cell>
          <cell r="B343" t="str">
            <v>Umjetnička djela (izložena u galerijama, muzejima i slično)</v>
          </cell>
          <cell r="C343" t="str">
            <v>7242</v>
          </cell>
          <cell r="D343">
            <v>0</v>
          </cell>
          <cell r="E343">
            <v>0</v>
          </cell>
        </row>
        <row r="344">
          <cell r="A344">
            <v>7243</v>
          </cell>
          <cell r="B344" t="str">
            <v>Muzejski izlošci i predmeti prirodnih rijetkosti</v>
          </cell>
          <cell r="C344" t="str">
            <v>7243</v>
          </cell>
          <cell r="D344">
            <v>0</v>
          </cell>
          <cell r="E344">
            <v>0</v>
          </cell>
        </row>
        <row r="345">
          <cell r="A345">
            <v>7244</v>
          </cell>
          <cell r="B345" t="str">
            <v>Ostale nespomenute izložbene vrijednosti</v>
          </cell>
          <cell r="C345" t="str">
            <v>7244</v>
          </cell>
          <cell r="D345">
            <v>0</v>
          </cell>
          <cell r="E345">
            <v>0</v>
          </cell>
        </row>
        <row r="346">
          <cell r="A346">
            <v>725</v>
          </cell>
          <cell r="B346" t="str">
            <v>Prihodi od prodaje višegodišnjih nasada i osnovnog stada (šifre 7251+7252)</v>
          </cell>
          <cell r="C346" t="str">
            <v>725</v>
          </cell>
          <cell r="D346">
            <v>0</v>
          </cell>
          <cell r="E346">
            <v>0</v>
          </cell>
        </row>
        <row r="347">
          <cell r="A347">
            <v>7251</v>
          </cell>
          <cell r="B347" t="str">
            <v>Višegodišnji nasadi</v>
          </cell>
          <cell r="C347" t="str">
            <v>7251</v>
          </cell>
          <cell r="D347">
            <v>0</v>
          </cell>
          <cell r="E347">
            <v>0</v>
          </cell>
        </row>
        <row r="348">
          <cell r="A348">
            <v>7252</v>
          </cell>
          <cell r="B348" t="str">
            <v>Osnovno stado</v>
          </cell>
          <cell r="C348" t="str">
            <v>7252</v>
          </cell>
          <cell r="D348">
            <v>0</v>
          </cell>
          <cell r="E348">
            <v>0</v>
          </cell>
        </row>
        <row r="349">
          <cell r="A349">
            <v>726</v>
          </cell>
          <cell r="B349" t="str">
            <v>Prihodi od prodaje nematerijalne proizvedene imovine (šifre 7261 do 7264)</v>
          </cell>
          <cell r="C349" t="str">
            <v>726</v>
          </cell>
          <cell r="D349">
            <v>0</v>
          </cell>
          <cell r="E349">
            <v>0</v>
          </cell>
        </row>
        <row r="350">
          <cell r="A350">
            <v>7261</v>
          </cell>
          <cell r="B350" t="str">
            <v>Istraživanje rudnih bogatstava</v>
          </cell>
          <cell r="C350" t="str">
            <v>7261</v>
          </cell>
          <cell r="D350">
            <v>0</v>
          </cell>
          <cell r="E350">
            <v>0</v>
          </cell>
        </row>
        <row r="351">
          <cell r="A351">
            <v>7262</v>
          </cell>
          <cell r="B351" t="str">
            <v xml:space="preserve">Ulaganja u računalne programe </v>
          </cell>
          <cell r="C351" t="str">
            <v>7262</v>
          </cell>
          <cell r="D351">
            <v>0</v>
          </cell>
          <cell r="E351">
            <v>0</v>
          </cell>
        </row>
        <row r="352">
          <cell r="A352">
            <v>7263</v>
          </cell>
          <cell r="B352" t="str">
            <v>Umjetnička, literarna i znanstvena djela</v>
          </cell>
          <cell r="C352" t="str">
            <v>7263</v>
          </cell>
          <cell r="D352">
            <v>0</v>
          </cell>
          <cell r="E352">
            <v>0</v>
          </cell>
        </row>
        <row r="353">
          <cell r="A353">
            <v>7264</v>
          </cell>
          <cell r="B353" t="str">
            <v>Ostala nematerijalna proizvedena imovina</v>
          </cell>
          <cell r="C353" t="str">
            <v>7264</v>
          </cell>
          <cell r="D353">
            <v>0</v>
          </cell>
          <cell r="E353">
            <v>0</v>
          </cell>
        </row>
        <row r="354">
          <cell r="A354">
            <v>73</v>
          </cell>
          <cell r="B354" t="str">
            <v>Prihodi od prodaje plemenitih metala i ostalih pohranjenih vrijednosti (šifra 731)</v>
          </cell>
          <cell r="C354" t="str">
            <v>73</v>
          </cell>
          <cell r="D354">
            <v>0</v>
          </cell>
          <cell r="E354">
            <v>0</v>
          </cell>
        </row>
        <row r="355">
          <cell r="A355">
            <v>731</v>
          </cell>
          <cell r="B355" t="str">
            <v>Prihodi od prodaje plemenitih metala i ostalih pohranjenih vrijednosti (šifre 7311+7312)</v>
          </cell>
          <cell r="C355" t="str">
            <v>731</v>
          </cell>
          <cell r="D355">
            <v>0</v>
          </cell>
          <cell r="E355">
            <v>0</v>
          </cell>
        </row>
        <row r="356">
          <cell r="A356">
            <v>7311</v>
          </cell>
          <cell r="B356" t="str">
            <v>Plemeniti metali i drago kamenje</v>
          </cell>
          <cell r="C356" t="str">
            <v>7311</v>
          </cell>
          <cell r="D356">
            <v>0</v>
          </cell>
          <cell r="E356">
            <v>0</v>
          </cell>
        </row>
        <row r="357">
          <cell r="A357">
            <v>7312</v>
          </cell>
          <cell r="B357" t="str">
            <v>Pohranjene knjige, umjetnička djela i slične vrijednosti</v>
          </cell>
          <cell r="C357" t="str">
            <v>7312</v>
          </cell>
          <cell r="D357">
            <v>0</v>
          </cell>
          <cell r="E357">
            <v>0</v>
          </cell>
        </row>
        <row r="358">
          <cell r="A358">
            <v>74</v>
          </cell>
          <cell r="B358" t="str">
            <v>Prihodi od prodaje proizvedene kratkotrajne imovine (šifra 741)</v>
          </cell>
          <cell r="C358" t="str">
            <v>74</v>
          </cell>
          <cell r="D358">
            <v>0</v>
          </cell>
          <cell r="E358">
            <v>0</v>
          </cell>
        </row>
        <row r="359">
          <cell r="A359">
            <v>741</v>
          </cell>
          <cell r="B359" t="str">
            <v>Prihodi od prodaje zaliha</v>
          </cell>
          <cell r="C359" t="str">
            <v>741</v>
          </cell>
          <cell r="D359">
            <v>0</v>
          </cell>
          <cell r="E359">
            <v>0</v>
          </cell>
        </row>
        <row r="360">
          <cell r="A360">
            <v>4</v>
          </cell>
          <cell r="B360" t="str">
            <v>Rashodi za nabavu nefinancijske imovine (šifre 41+42+43+44+45)</v>
          </cell>
          <cell r="C360" t="str">
            <v>4</v>
          </cell>
          <cell r="D360">
            <v>1940864.36</v>
          </cell>
          <cell r="E360">
            <v>2252929.92</v>
          </cell>
        </row>
        <row r="361">
          <cell r="A361">
            <v>41</v>
          </cell>
          <cell r="B361" t="str">
            <v>Rashodi za nabavu neproizvedene dugotrajne imovine (šifre 411+412)</v>
          </cell>
          <cell r="C361" t="str">
            <v>41</v>
          </cell>
          <cell r="D361">
            <v>0</v>
          </cell>
          <cell r="E361">
            <v>0</v>
          </cell>
        </row>
        <row r="362">
          <cell r="A362">
            <v>411</v>
          </cell>
          <cell r="B362" t="str">
            <v>Materijalna imovina - prirodna bogatstva (šifre 4111 do 4113)</v>
          </cell>
          <cell r="C362" t="str">
            <v>411</v>
          </cell>
          <cell r="D362">
            <v>0</v>
          </cell>
          <cell r="E362">
            <v>0</v>
          </cell>
        </row>
        <row r="363">
          <cell r="A363">
            <v>4111</v>
          </cell>
          <cell r="B363" t="str">
            <v>Zemljište</v>
          </cell>
          <cell r="C363" t="str">
            <v>4111</v>
          </cell>
          <cell r="D363">
            <v>0</v>
          </cell>
          <cell r="E363">
            <v>0</v>
          </cell>
        </row>
        <row r="364">
          <cell r="A364">
            <v>4112</v>
          </cell>
          <cell r="B364" t="str">
            <v>Rudna bogatstva</v>
          </cell>
          <cell r="C364" t="str">
            <v>4112</v>
          </cell>
          <cell r="D364">
            <v>0</v>
          </cell>
          <cell r="E364">
            <v>0</v>
          </cell>
        </row>
        <row r="365">
          <cell r="A365">
            <v>4113</v>
          </cell>
          <cell r="B365" t="str">
            <v>Ostala prirodna materijalna imovina</v>
          </cell>
          <cell r="C365" t="str">
            <v>4113</v>
          </cell>
          <cell r="D365">
            <v>0</v>
          </cell>
          <cell r="E365">
            <v>0</v>
          </cell>
        </row>
        <row r="366">
          <cell r="A366">
            <v>412</v>
          </cell>
          <cell r="B366" t="str">
            <v>Nematerijalna imovina (šifre 4121 do 4126)</v>
          </cell>
          <cell r="C366" t="str">
            <v>412</v>
          </cell>
          <cell r="D366">
            <v>0</v>
          </cell>
          <cell r="E366">
            <v>0</v>
          </cell>
        </row>
        <row r="367">
          <cell r="A367">
            <v>4121</v>
          </cell>
          <cell r="B367" t="str">
            <v>Patenti</v>
          </cell>
          <cell r="C367" t="str">
            <v>4121</v>
          </cell>
          <cell r="D367">
            <v>0</v>
          </cell>
          <cell r="E367">
            <v>0</v>
          </cell>
        </row>
        <row r="368">
          <cell r="A368">
            <v>4122</v>
          </cell>
          <cell r="B368" t="str">
            <v>Koncesije</v>
          </cell>
          <cell r="C368" t="str">
            <v>4122</v>
          </cell>
          <cell r="D368">
            <v>0</v>
          </cell>
          <cell r="E368">
            <v>0</v>
          </cell>
        </row>
        <row r="369">
          <cell r="A369">
            <v>4123</v>
          </cell>
          <cell r="B369" t="str">
            <v>Licence</v>
          </cell>
          <cell r="C369" t="str">
            <v>4123</v>
          </cell>
          <cell r="D369">
            <v>0</v>
          </cell>
          <cell r="E369">
            <v>0</v>
          </cell>
        </row>
        <row r="370">
          <cell r="A370">
            <v>4124</v>
          </cell>
          <cell r="B370" t="str">
            <v>Ostala prava</v>
          </cell>
          <cell r="C370" t="str">
            <v>4124</v>
          </cell>
          <cell r="D370">
            <v>0</v>
          </cell>
          <cell r="E370">
            <v>0</v>
          </cell>
        </row>
        <row r="371">
          <cell r="A371">
            <v>4125</v>
          </cell>
          <cell r="B371" t="str">
            <v>Goodwill</v>
          </cell>
          <cell r="C371" t="str">
            <v>4125</v>
          </cell>
          <cell r="D371">
            <v>0</v>
          </cell>
          <cell r="E371">
            <v>0</v>
          </cell>
        </row>
        <row r="372">
          <cell r="A372">
            <v>4126</v>
          </cell>
          <cell r="B372" t="str">
            <v>Ostala nematerijalna imovina</v>
          </cell>
          <cell r="C372" t="str">
            <v>4126</v>
          </cell>
          <cell r="D372">
            <v>0</v>
          </cell>
          <cell r="E372">
            <v>0</v>
          </cell>
        </row>
        <row r="373">
          <cell r="A373">
            <v>42</v>
          </cell>
          <cell r="B373" t="str">
            <v>Rashodi za nabavu proizvedene dugotrajne imovine (šifre 421+422+423+424+425+426)</v>
          </cell>
          <cell r="C373" t="str">
            <v>42</v>
          </cell>
          <cell r="D373">
            <v>1848873.2000000002</v>
          </cell>
          <cell r="E373">
            <v>2243536.96</v>
          </cell>
        </row>
        <row r="374">
          <cell r="A374">
            <v>421</v>
          </cell>
          <cell r="B374" t="str">
            <v>Građevinski objekti (šifre 4211 do 4214)</v>
          </cell>
          <cell r="C374" t="str">
            <v>421</v>
          </cell>
          <cell r="D374">
            <v>0</v>
          </cell>
          <cell r="E374">
            <v>0</v>
          </cell>
        </row>
        <row r="375">
          <cell r="A375">
            <v>4211</v>
          </cell>
          <cell r="B375" t="str">
            <v>Stambeni objekti</v>
          </cell>
          <cell r="C375" t="str">
            <v>4211</v>
          </cell>
          <cell r="D375">
            <v>0</v>
          </cell>
          <cell r="E375">
            <v>0</v>
          </cell>
        </row>
        <row r="376">
          <cell r="A376">
            <v>4212</v>
          </cell>
          <cell r="B376" t="str">
            <v>Poslovni objekti</v>
          </cell>
          <cell r="C376" t="str">
            <v>4212</v>
          </cell>
          <cell r="D376">
            <v>0</v>
          </cell>
          <cell r="E376">
            <v>0</v>
          </cell>
        </row>
        <row r="377">
          <cell r="A377">
            <v>4213</v>
          </cell>
          <cell r="B377" t="str">
            <v>Ceste, željeznice i ostali prometni objekti</v>
          </cell>
          <cell r="C377" t="str">
            <v>4213</v>
          </cell>
          <cell r="D377">
            <v>0</v>
          </cell>
          <cell r="E377">
            <v>0</v>
          </cell>
        </row>
        <row r="378">
          <cell r="A378">
            <v>4214</v>
          </cell>
          <cell r="B378" t="str">
            <v>Ostali građevinski objekti</v>
          </cell>
          <cell r="C378" t="str">
            <v>4214</v>
          </cell>
          <cell r="D378">
            <v>0</v>
          </cell>
          <cell r="E378">
            <v>0</v>
          </cell>
        </row>
        <row r="379">
          <cell r="A379">
            <v>422</v>
          </cell>
          <cell r="B379" t="str">
            <v>Postrojenja i oprema (šifre 4221 do 4228)</v>
          </cell>
          <cell r="C379" t="str">
            <v>422</v>
          </cell>
          <cell r="D379">
            <v>50842.1</v>
          </cell>
          <cell r="E379">
            <v>143487.54999999999</v>
          </cell>
        </row>
        <row r="380">
          <cell r="A380">
            <v>4221</v>
          </cell>
          <cell r="B380" t="str">
            <v>Uredska oprema i namještaj</v>
          </cell>
          <cell r="C380" t="str">
            <v>4221</v>
          </cell>
          <cell r="D380">
            <v>28737.85</v>
          </cell>
          <cell r="E380">
            <v>128887.01</v>
          </cell>
        </row>
        <row r="381">
          <cell r="A381">
            <v>4222</v>
          </cell>
          <cell r="B381" t="str">
            <v>Komunikacijska oprema</v>
          </cell>
          <cell r="C381" t="str">
            <v>4222</v>
          </cell>
          <cell r="D381">
            <v>2731.21</v>
          </cell>
          <cell r="E381">
            <v>0</v>
          </cell>
        </row>
        <row r="382">
          <cell r="A382">
            <v>4223</v>
          </cell>
          <cell r="B382" t="str">
            <v>Oprema za održavanje i zaštitu</v>
          </cell>
          <cell r="C382" t="str">
            <v>4223</v>
          </cell>
          <cell r="D382">
            <v>19373.04</v>
          </cell>
          <cell r="E382">
            <v>14600.54</v>
          </cell>
        </row>
        <row r="383">
          <cell r="A383">
            <v>4224</v>
          </cell>
          <cell r="B383" t="str">
            <v>Medicinska i laboratorijska oprema</v>
          </cell>
          <cell r="C383" t="str">
            <v>4224</v>
          </cell>
          <cell r="D383">
            <v>0</v>
          </cell>
          <cell r="E383">
            <v>0</v>
          </cell>
        </row>
        <row r="384">
          <cell r="A384">
            <v>4225</v>
          </cell>
          <cell r="B384" t="str">
            <v>Instrumenti i uređaji</v>
          </cell>
          <cell r="C384" t="str">
            <v>4225</v>
          </cell>
          <cell r="D384">
            <v>0</v>
          </cell>
          <cell r="E384">
            <v>0</v>
          </cell>
        </row>
        <row r="385">
          <cell r="A385">
            <v>4226</v>
          </cell>
          <cell r="B385" t="str">
            <v>Sportska i glazbena oprema</v>
          </cell>
          <cell r="C385" t="str">
            <v>4226</v>
          </cell>
          <cell r="D385">
            <v>0</v>
          </cell>
          <cell r="E385">
            <v>0</v>
          </cell>
        </row>
        <row r="386">
          <cell r="A386">
            <v>4227</v>
          </cell>
          <cell r="B386" t="str">
            <v>Uređaji, strojevi i oprema za ostale namjene</v>
          </cell>
          <cell r="C386" t="str">
            <v>4227</v>
          </cell>
          <cell r="D386">
            <v>0</v>
          </cell>
          <cell r="E386">
            <v>0</v>
          </cell>
        </row>
        <row r="387">
          <cell r="A387" t="str">
            <v>4228</v>
          </cell>
          <cell r="B387" t="str">
            <v>Vojna oprema</v>
          </cell>
          <cell r="C387" t="str">
            <v>4228</v>
          </cell>
          <cell r="D387">
            <v>0</v>
          </cell>
          <cell r="E387">
            <v>0</v>
          </cell>
        </row>
        <row r="388">
          <cell r="A388">
            <v>423</v>
          </cell>
          <cell r="B388" t="str">
            <v>Prijevozna sredstva (šifre 4231 do 4234)</v>
          </cell>
          <cell r="C388" t="str">
            <v>423</v>
          </cell>
          <cell r="D388">
            <v>0</v>
          </cell>
          <cell r="E388">
            <v>1500</v>
          </cell>
        </row>
        <row r="389">
          <cell r="A389">
            <v>4231</v>
          </cell>
          <cell r="B389" t="str">
            <v>Prijevozna sredstva u cestovnom prometu</v>
          </cell>
          <cell r="C389" t="str">
            <v>4231</v>
          </cell>
          <cell r="D389">
            <v>0</v>
          </cell>
          <cell r="E389">
            <v>1500</v>
          </cell>
        </row>
        <row r="390">
          <cell r="A390">
            <v>4232</v>
          </cell>
          <cell r="B390" t="str">
            <v>Prijevozna sredstva u željezničkom prometu</v>
          </cell>
          <cell r="C390" t="str">
            <v>4232</v>
          </cell>
          <cell r="D390">
            <v>0</v>
          </cell>
          <cell r="E390">
            <v>0</v>
          </cell>
        </row>
        <row r="391">
          <cell r="A391">
            <v>4233</v>
          </cell>
          <cell r="B391" t="str">
            <v>Prijevozna sredstva u pomorskom i riječnom prometu</v>
          </cell>
          <cell r="C391" t="str">
            <v>4233</v>
          </cell>
          <cell r="D391">
            <v>0</v>
          </cell>
          <cell r="E391">
            <v>0</v>
          </cell>
        </row>
        <row r="392">
          <cell r="A392">
            <v>4234</v>
          </cell>
          <cell r="B392" t="str">
            <v>Prijevozna sredstva u zračnom prometu</v>
          </cell>
          <cell r="C392" t="str">
            <v>4234</v>
          </cell>
          <cell r="D392">
            <v>0</v>
          </cell>
          <cell r="E392">
            <v>0</v>
          </cell>
        </row>
        <row r="393">
          <cell r="A393">
            <v>424</v>
          </cell>
          <cell r="B393" t="str">
            <v>Knjige, umjetnička djela i ostale izložbene vrijednosti (šifre 4241 do 4244)</v>
          </cell>
          <cell r="C393" t="str">
            <v>424</v>
          </cell>
          <cell r="D393">
            <v>1783990.82</v>
          </cell>
          <cell r="E393">
            <v>2095340.43</v>
          </cell>
        </row>
        <row r="394">
          <cell r="A394">
            <v>4241</v>
          </cell>
          <cell r="B394" t="str">
            <v xml:space="preserve">Knjige </v>
          </cell>
          <cell r="C394" t="str">
            <v>4241</v>
          </cell>
          <cell r="D394">
            <v>1783990.82</v>
          </cell>
          <cell r="E394">
            <v>2095340.43</v>
          </cell>
        </row>
        <row r="395">
          <cell r="A395">
            <v>4242</v>
          </cell>
          <cell r="B395" t="str">
            <v>Umjetnička djela (izložena u galerijama, muzejima i slično)</v>
          </cell>
          <cell r="C395" t="str">
            <v>4242</v>
          </cell>
          <cell r="D395">
            <v>0</v>
          </cell>
          <cell r="E395">
            <v>0</v>
          </cell>
        </row>
        <row r="396">
          <cell r="A396">
            <v>4243</v>
          </cell>
          <cell r="B396" t="str">
            <v>Muzejski izlošci i predmeti prirodnih rijetkosti</v>
          </cell>
          <cell r="C396" t="str">
            <v>4243</v>
          </cell>
          <cell r="D396">
            <v>0</v>
          </cell>
          <cell r="E396">
            <v>0</v>
          </cell>
        </row>
        <row r="397">
          <cell r="A397">
            <v>4244</v>
          </cell>
          <cell r="B397" t="str">
            <v>Ostale nespomenute izložbene vrijednosti</v>
          </cell>
          <cell r="C397" t="str">
            <v>4244</v>
          </cell>
          <cell r="D397">
            <v>0</v>
          </cell>
          <cell r="E397">
            <v>0</v>
          </cell>
        </row>
        <row r="398">
          <cell r="A398">
            <v>425</v>
          </cell>
          <cell r="B398" t="str">
            <v>Višegodišnji nasadi i osnovno stado (šifre 4251+4252)</v>
          </cell>
          <cell r="C398" t="str">
            <v>425</v>
          </cell>
          <cell r="D398">
            <v>0</v>
          </cell>
          <cell r="E398">
            <v>0</v>
          </cell>
        </row>
        <row r="399">
          <cell r="A399">
            <v>4251</v>
          </cell>
          <cell r="B399" t="str">
            <v xml:space="preserve">Višegodišnji nasadi </v>
          </cell>
          <cell r="C399" t="str">
            <v>4251</v>
          </cell>
          <cell r="D399">
            <v>0</v>
          </cell>
          <cell r="E399">
            <v>0</v>
          </cell>
        </row>
        <row r="400">
          <cell r="A400">
            <v>4252</v>
          </cell>
          <cell r="B400" t="str">
            <v>Osnovno stado</v>
          </cell>
          <cell r="C400" t="str">
            <v>4252</v>
          </cell>
          <cell r="D400">
            <v>0</v>
          </cell>
          <cell r="E400">
            <v>0</v>
          </cell>
        </row>
        <row r="401">
          <cell r="A401">
            <v>426</v>
          </cell>
          <cell r="B401" t="str">
            <v>Nematerijalna proizvedena imovina (šifre 4261 do 4264)</v>
          </cell>
          <cell r="C401" t="str">
            <v>426</v>
          </cell>
          <cell r="D401">
            <v>14040.28</v>
          </cell>
          <cell r="E401">
            <v>3208.98</v>
          </cell>
        </row>
        <row r="402">
          <cell r="A402">
            <v>4261</v>
          </cell>
          <cell r="B402" t="str">
            <v>Istraživanje rudnih bogatstava</v>
          </cell>
          <cell r="C402" t="str">
            <v>4261</v>
          </cell>
          <cell r="D402">
            <v>0</v>
          </cell>
          <cell r="E402">
            <v>0</v>
          </cell>
        </row>
        <row r="403">
          <cell r="A403">
            <v>4262</v>
          </cell>
          <cell r="B403" t="str">
            <v xml:space="preserve">Ulaganja u računalne programe </v>
          </cell>
          <cell r="C403" t="str">
            <v>4262</v>
          </cell>
          <cell r="D403">
            <v>14040.28</v>
          </cell>
          <cell r="E403">
            <v>3208.98</v>
          </cell>
        </row>
        <row r="404">
          <cell r="A404">
            <v>4263</v>
          </cell>
          <cell r="B404" t="str">
            <v>Umjetnička, literarna i znanstvena djela</v>
          </cell>
          <cell r="C404" t="str">
            <v>4263</v>
          </cell>
          <cell r="D404">
            <v>0</v>
          </cell>
          <cell r="E404">
            <v>0</v>
          </cell>
        </row>
        <row r="405">
          <cell r="A405">
            <v>4264</v>
          </cell>
          <cell r="B405" t="str">
            <v>Ostala nematerijalna proizvedena imovina</v>
          </cell>
          <cell r="C405" t="str">
            <v>4264</v>
          </cell>
          <cell r="D405">
            <v>0</v>
          </cell>
          <cell r="E405">
            <v>0</v>
          </cell>
        </row>
        <row r="406">
          <cell r="A406">
            <v>43</v>
          </cell>
          <cell r="B406" t="str">
            <v>Rashodi za nabavu plemenitih metala i ostalih pohranjenih vrijednosti (šifra 431)</v>
          </cell>
          <cell r="C406" t="str">
            <v>43</v>
          </cell>
          <cell r="D406">
            <v>0</v>
          </cell>
          <cell r="E406">
            <v>0</v>
          </cell>
        </row>
        <row r="407">
          <cell r="A407">
            <v>431</v>
          </cell>
          <cell r="B407" t="str">
            <v>Plemeniti metali i ostale pohranjene vrijednosti (šifre 4311+4312)</v>
          </cell>
          <cell r="C407" t="str">
            <v>431</v>
          </cell>
          <cell r="D407">
            <v>0</v>
          </cell>
          <cell r="E407">
            <v>0</v>
          </cell>
        </row>
        <row r="408">
          <cell r="A408">
            <v>4311</v>
          </cell>
          <cell r="B408" t="str">
            <v>Plemeniti metali i drago kamenje</v>
          </cell>
          <cell r="C408" t="str">
            <v>4311</v>
          </cell>
          <cell r="D408">
            <v>0</v>
          </cell>
          <cell r="E408">
            <v>0</v>
          </cell>
        </row>
        <row r="409">
          <cell r="A409">
            <v>4312</v>
          </cell>
          <cell r="B409" t="str">
            <v>Pohranjene knjige, umjetnička djela i slične vrijednosti</v>
          </cell>
          <cell r="C409" t="str">
            <v>4312</v>
          </cell>
          <cell r="D409">
            <v>0</v>
          </cell>
          <cell r="E409">
            <v>0</v>
          </cell>
        </row>
        <row r="410">
          <cell r="A410">
            <v>44</v>
          </cell>
          <cell r="B410" t="str">
            <v>Rashodi za nabavu proizvedene kratkotrajne imovine (šifra 441)</v>
          </cell>
          <cell r="C410" t="str">
            <v>44</v>
          </cell>
          <cell r="D410">
            <v>0</v>
          </cell>
          <cell r="E410">
            <v>0</v>
          </cell>
        </row>
        <row r="411">
          <cell r="A411">
            <v>441</v>
          </cell>
          <cell r="B411" t="str">
            <v>Rashodi za nabavu zaliha</v>
          </cell>
          <cell r="C411" t="str">
            <v>441</v>
          </cell>
          <cell r="D411">
            <v>0</v>
          </cell>
          <cell r="E411">
            <v>0</v>
          </cell>
        </row>
        <row r="412">
          <cell r="A412">
            <v>45</v>
          </cell>
          <cell r="B412" t="str">
            <v>Rashodi za dodatna ulaganja na nefinancijskoj imovini (šifre 451 do 454)</v>
          </cell>
          <cell r="C412" t="str">
            <v>45</v>
          </cell>
          <cell r="D412">
            <v>91991.16</v>
          </cell>
          <cell r="E412">
            <v>9392.9599999999991</v>
          </cell>
        </row>
        <row r="413">
          <cell r="A413">
            <v>451</v>
          </cell>
          <cell r="B413" t="str">
            <v>Dodatna ulaganja na građevinskim objektima</v>
          </cell>
          <cell r="C413" t="str">
            <v>451</v>
          </cell>
          <cell r="D413">
            <v>91991.16</v>
          </cell>
          <cell r="E413">
            <v>9392.9599999999991</v>
          </cell>
        </row>
        <row r="414">
          <cell r="A414">
            <v>452</v>
          </cell>
          <cell r="B414" t="str">
            <v>Dodatna ulaganja na postrojenjima i opremi</v>
          </cell>
          <cell r="C414" t="str">
            <v>452</v>
          </cell>
          <cell r="D414">
            <v>0</v>
          </cell>
          <cell r="E414">
            <v>0</v>
          </cell>
        </row>
        <row r="415">
          <cell r="A415">
            <v>453</v>
          </cell>
          <cell r="B415" t="str">
            <v>Dodatna ulaganja na prijevoznim sredstvima</v>
          </cell>
          <cell r="C415" t="str">
            <v>453</v>
          </cell>
          <cell r="D415">
            <v>0</v>
          </cell>
          <cell r="E415">
            <v>0</v>
          </cell>
        </row>
        <row r="416">
          <cell r="A416">
            <v>454</v>
          </cell>
          <cell r="B416" t="str">
            <v>Dodatna ulaganja za ostalu nefinancijsku imovinu</v>
          </cell>
          <cell r="C416" t="str">
            <v>454</v>
          </cell>
          <cell r="D416">
            <v>0</v>
          </cell>
          <cell r="E416">
            <v>0</v>
          </cell>
        </row>
        <row r="417">
          <cell r="A417" t="str">
            <v xml:space="preserve"> </v>
          </cell>
          <cell r="B417" t="str">
            <v>VIŠAK PRIHODA OD NEFINANCIJSKE IMOVINE (šifre 7-4)</v>
          </cell>
          <cell r="C417" t="str">
            <v>X002</v>
          </cell>
          <cell r="D417">
            <v>0</v>
          </cell>
          <cell r="E417">
            <v>0</v>
          </cell>
        </row>
        <row r="418">
          <cell r="A418" t="str">
            <v xml:space="preserve"> </v>
          </cell>
          <cell r="B418" t="str">
            <v>MANJAK PRIHODA OD NEFINANCIJSKE IMOVINE (šifre 4-7)</v>
          </cell>
          <cell r="C418" t="str">
            <v>Y002</v>
          </cell>
          <cell r="D418">
            <v>1940758.4700000002</v>
          </cell>
          <cell r="E418">
            <v>2252929.92</v>
          </cell>
        </row>
        <row r="419">
          <cell r="A419">
            <v>92212</v>
          </cell>
          <cell r="B419" t="str">
            <v xml:space="preserve">Višak prihoda od nefinancijske imovine - preneseni </v>
          </cell>
          <cell r="C419" t="str">
            <v>92212</v>
          </cell>
          <cell r="D419">
            <v>0</v>
          </cell>
          <cell r="E419">
            <v>0</v>
          </cell>
        </row>
        <row r="420">
          <cell r="A420">
            <v>92222</v>
          </cell>
          <cell r="B420" t="str">
            <v xml:space="preserve">Manjak prihoda od nefinancijske imovine - preneseni </v>
          </cell>
          <cell r="C420" t="str">
            <v>92222</v>
          </cell>
          <cell r="D420">
            <v>622498.51</v>
          </cell>
          <cell r="E420">
            <v>989738.41</v>
          </cell>
        </row>
        <row r="421">
          <cell r="A421">
            <v>97</v>
          </cell>
          <cell r="B421" t="str">
            <v>Obračunati prihodi od prodaje nefinancijske imovine - nenaplaćeni</v>
          </cell>
          <cell r="C421" t="str">
            <v>97</v>
          </cell>
          <cell r="D421">
            <v>1641.8</v>
          </cell>
          <cell r="E421">
            <v>1641.8</v>
          </cell>
        </row>
        <row r="422">
          <cell r="A422" t="str">
            <v xml:space="preserve"> </v>
          </cell>
          <cell r="B422" t="str">
            <v>UKUPNI PRIHODI (šifre 6+7)</v>
          </cell>
          <cell r="C422" t="str">
            <v>X067</v>
          </cell>
          <cell r="D422">
            <v>18527517.870000001</v>
          </cell>
          <cell r="E422">
            <v>22821257.859999999</v>
          </cell>
        </row>
        <row r="423">
          <cell r="A423" t="str">
            <v xml:space="preserve"> </v>
          </cell>
          <cell r="B423" t="str">
            <v>UKUPNI RASHODI (šifre Z005+4)</v>
          </cell>
          <cell r="C423" t="str">
            <v>Y034</v>
          </cell>
          <cell r="D423">
            <v>18903824.530000001</v>
          </cell>
          <cell r="E423">
            <v>23268572.129999995</v>
          </cell>
        </row>
        <row r="424">
          <cell r="A424" t="str">
            <v xml:space="preserve"> </v>
          </cell>
          <cell r="B424" t="str">
            <v>UKUPAN VIŠAK PRIHODA (šifre X067-Y034)</v>
          </cell>
          <cell r="C424" t="str">
            <v>X004</v>
          </cell>
          <cell r="D424">
            <v>0</v>
          </cell>
          <cell r="E424">
            <v>0</v>
          </cell>
        </row>
        <row r="425">
          <cell r="A425" t="str">
            <v xml:space="preserve"> </v>
          </cell>
          <cell r="B425" t="str">
            <v>UKUPAN MANJAK PRIHODA (šifre Y034-X067)</v>
          </cell>
          <cell r="C425" t="str">
            <v>Y004</v>
          </cell>
          <cell r="D425">
            <v>376306.66000000015</v>
          </cell>
          <cell r="E425">
            <v>447314.26999999583</v>
          </cell>
        </row>
        <row r="426">
          <cell r="A426" t="str">
            <v>9221x, 9222x</v>
          </cell>
          <cell r="B426" t="str">
            <v>Višak prihoda - preneseni (šifre 92211+92212-92221-92222)</v>
          </cell>
          <cell r="C426" t="str">
            <v>9221x,9222x VP</v>
          </cell>
          <cell r="D426">
            <v>0</v>
          </cell>
          <cell r="E426">
            <v>0</v>
          </cell>
        </row>
        <row r="427">
          <cell r="A427" t="str">
            <v>9221x, 9222x</v>
          </cell>
          <cell r="B427" t="str">
            <v>Manjak prihoda - preneseni (šifre 92221+92222-92211-92212)</v>
          </cell>
          <cell r="C427" t="str">
            <v>9221x,9222x MP</v>
          </cell>
          <cell r="D427">
            <v>613431.75</v>
          </cell>
          <cell r="E427">
            <v>989738.41</v>
          </cell>
        </row>
        <row r="428">
          <cell r="A428" t="str">
            <v>96, 97</v>
          </cell>
          <cell r="B428" t="str">
            <v>Obračunati prihodi poslovanja i od prodaje nefinancijske imovine - nenaplaćeni (šifre 96+97)</v>
          </cell>
          <cell r="C428" t="str">
            <v>96,97</v>
          </cell>
          <cell r="D428">
            <v>2953.29</v>
          </cell>
          <cell r="E428">
            <v>16246.359999999999</v>
          </cell>
        </row>
        <row r="429">
          <cell r="A429" t="str">
            <v>Primici i izdaci</v>
          </cell>
          <cell r="B429"/>
          <cell r="C429"/>
          <cell r="D429"/>
          <cell r="E429"/>
        </row>
        <row r="430">
          <cell r="A430">
            <v>8</v>
          </cell>
          <cell r="B430" t="str">
            <v>Primici od financijske imovine i zaduživanja (šifre 81+82+83+84+85)</v>
          </cell>
          <cell r="C430" t="str">
            <v>8</v>
          </cell>
          <cell r="D430">
            <v>0</v>
          </cell>
          <cell r="E430">
            <v>0</v>
          </cell>
        </row>
        <row r="431">
          <cell r="A431">
            <v>81</v>
          </cell>
          <cell r="B431" t="str">
            <v>Primljeni povrati glavnica danih zajmova (šifre 811+812+813+814+815+816+817+818)</v>
          </cell>
          <cell r="C431" t="str">
            <v>81</v>
          </cell>
          <cell r="D431">
            <v>0</v>
          </cell>
          <cell r="E431">
            <v>0</v>
          </cell>
        </row>
        <row r="432">
          <cell r="A432">
            <v>811</v>
          </cell>
          <cell r="B432" t="str">
            <v>Primici (povrati) glavnice zajmova danih međunarodnim organizacijama, institucijama i tijelima EU te inozemnim vladama (šifre 8113 do 8116)</v>
          </cell>
          <cell r="C432" t="str">
            <v>811</v>
          </cell>
          <cell r="D432">
            <v>0</v>
          </cell>
          <cell r="E432">
            <v>0</v>
          </cell>
        </row>
        <row r="433">
          <cell r="A433">
            <v>8113</v>
          </cell>
          <cell r="B433" t="str">
            <v>Povrat zajmova danih međunarodnim organizacijama</v>
          </cell>
          <cell r="C433" t="str">
            <v>8113</v>
          </cell>
          <cell r="D433">
            <v>0</v>
          </cell>
          <cell r="E433">
            <v>0</v>
          </cell>
        </row>
        <row r="434">
          <cell r="A434">
            <v>8114</v>
          </cell>
          <cell r="B434" t="str">
            <v>Povrat zajmova danih institucijama i tijelima EU</v>
          </cell>
          <cell r="C434" t="str">
            <v>8114</v>
          </cell>
          <cell r="D434">
            <v>0</v>
          </cell>
          <cell r="E434">
            <v>0</v>
          </cell>
        </row>
        <row r="435">
          <cell r="A435">
            <v>8115</v>
          </cell>
          <cell r="B435" t="str">
            <v>Povrat zajmova danih inozemnim vladama u EU</v>
          </cell>
          <cell r="C435" t="str">
            <v>8115</v>
          </cell>
          <cell r="D435">
            <v>0</v>
          </cell>
          <cell r="E435">
            <v>0</v>
          </cell>
        </row>
        <row r="436">
          <cell r="A436">
            <v>8116</v>
          </cell>
          <cell r="B436" t="str">
            <v>Povrat zajmova danih inozemnim vladama izvan EU</v>
          </cell>
          <cell r="C436" t="str">
            <v>8116</v>
          </cell>
          <cell r="D436">
            <v>0</v>
          </cell>
          <cell r="E436">
            <v>0</v>
          </cell>
        </row>
        <row r="437">
          <cell r="A437">
            <v>812</v>
          </cell>
          <cell r="B437" t="str">
            <v>Primici (povrati) glavnice zajmova danih neprofitnim organizacijama, građanima i kućanstvima (šifre 8121+8122)</v>
          </cell>
          <cell r="C437" t="str">
            <v>812</v>
          </cell>
          <cell r="D437">
            <v>0</v>
          </cell>
          <cell r="E437">
            <v>0</v>
          </cell>
        </row>
        <row r="438">
          <cell r="A438">
            <v>8121</v>
          </cell>
          <cell r="B438" t="str">
            <v>Povrat zajmova danih neprofitnim organizacijama, građanima i kućanstvima u tuzemstvu</v>
          </cell>
          <cell r="C438" t="str">
            <v>8121</v>
          </cell>
          <cell r="D438">
            <v>0</v>
          </cell>
          <cell r="E438">
            <v>0</v>
          </cell>
        </row>
        <row r="439">
          <cell r="A439">
            <v>8122</v>
          </cell>
          <cell r="B439" t="str">
            <v>Povrat zajmova danih neprofitnim organizacijama, građanima i kućanstvima u inozemstvu</v>
          </cell>
          <cell r="C439" t="str">
            <v>8122</v>
          </cell>
          <cell r="D439">
            <v>0</v>
          </cell>
          <cell r="E439">
            <v>0</v>
          </cell>
        </row>
        <row r="440">
          <cell r="A440">
            <v>813</v>
          </cell>
          <cell r="B440" t="str">
            <v>Primici (povrati) glavnice zajmova danih kreditnim i ostalim financijskim institucijama u javnom sektoru (šifre 8132 do 8134)</v>
          </cell>
          <cell r="C440" t="str">
            <v>813</v>
          </cell>
          <cell r="D440">
            <v>0</v>
          </cell>
          <cell r="E440">
            <v>0</v>
          </cell>
        </row>
        <row r="441">
          <cell r="A441">
            <v>8132</v>
          </cell>
          <cell r="B441" t="str">
            <v>Povrat zajmova danih kreditnim institucijama u javnom sektoru</v>
          </cell>
          <cell r="C441" t="str">
            <v>8132</v>
          </cell>
          <cell r="D441">
            <v>0</v>
          </cell>
          <cell r="E441">
            <v>0</v>
          </cell>
        </row>
        <row r="442">
          <cell r="A442">
            <v>8133</v>
          </cell>
          <cell r="B442" t="str">
            <v>Povrat zajmova danih osiguravajućim društvima u javnom sektoru</v>
          </cell>
          <cell r="C442" t="str">
            <v>8133</v>
          </cell>
          <cell r="D442">
            <v>0</v>
          </cell>
          <cell r="E442">
            <v>0</v>
          </cell>
        </row>
        <row r="443">
          <cell r="A443">
            <v>8134</v>
          </cell>
          <cell r="B443" t="str">
            <v>Povrat zajmova danih ostalim financijskim institucijama u javnom sektoru</v>
          </cell>
          <cell r="C443" t="str">
            <v>8134</v>
          </cell>
          <cell r="D443">
            <v>0</v>
          </cell>
          <cell r="E443">
            <v>0</v>
          </cell>
        </row>
        <row r="444">
          <cell r="A444">
            <v>814</v>
          </cell>
          <cell r="B444" t="str">
            <v>Primici (povrati) glavnice zajmova danih trgovačkim društvima u javnom sektoru</v>
          </cell>
          <cell r="C444" t="str">
            <v>814</v>
          </cell>
          <cell r="D444">
            <v>0</v>
          </cell>
          <cell r="E444">
            <v>0</v>
          </cell>
        </row>
        <row r="445">
          <cell r="A445">
            <v>815</v>
          </cell>
          <cell r="B445" t="str">
            <v>Primici (povrati) glavnice zajmova danih kreditnim i ostalim financijskim institucijama izvan javnog sektora (šifre 8153 do 8158)</v>
          </cell>
          <cell r="C445" t="str">
            <v>815</v>
          </cell>
          <cell r="D445">
            <v>0</v>
          </cell>
          <cell r="E445">
            <v>0</v>
          </cell>
        </row>
        <row r="446">
          <cell r="A446">
            <v>8153</v>
          </cell>
          <cell r="B446" t="str">
            <v>Povrat zajmova danih tuzemnim kreditnim institucijama izvan javnog sektora</v>
          </cell>
          <cell r="C446" t="str">
            <v>8153</v>
          </cell>
          <cell r="D446">
            <v>0</v>
          </cell>
          <cell r="E446">
            <v>0</v>
          </cell>
        </row>
        <row r="447">
          <cell r="A447">
            <v>8154</v>
          </cell>
          <cell r="B447" t="str">
            <v>Povrat zajmova danih tuzemnim osiguravajućim društvima izvan javnog sektora</v>
          </cell>
          <cell r="C447" t="str">
            <v>8154</v>
          </cell>
          <cell r="D447">
            <v>0</v>
          </cell>
          <cell r="E447">
            <v>0</v>
          </cell>
        </row>
        <row r="448">
          <cell r="A448">
            <v>8155</v>
          </cell>
          <cell r="B448" t="str">
            <v>Povrat zajmova danih ostalim tuzemnim financijskim institucijama izvan javnog sektora</v>
          </cell>
          <cell r="C448" t="str">
            <v>8155</v>
          </cell>
          <cell r="D448">
            <v>0</v>
          </cell>
          <cell r="E448">
            <v>0</v>
          </cell>
        </row>
        <row r="449">
          <cell r="A449">
            <v>8156</v>
          </cell>
          <cell r="B449" t="str">
            <v>Povrat zajmova danih inozemnim kreditnim institucijama</v>
          </cell>
          <cell r="C449" t="str">
            <v>8156</v>
          </cell>
          <cell r="D449">
            <v>0</v>
          </cell>
          <cell r="E449">
            <v>0</v>
          </cell>
        </row>
        <row r="450">
          <cell r="A450">
            <v>8157</v>
          </cell>
          <cell r="B450" t="str">
            <v>Povrat zajmova danih inozemnim osiguravajućim društvima</v>
          </cell>
          <cell r="C450" t="str">
            <v>8157</v>
          </cell>
          <cell r="D450">
            <v>0</v>
          </cell>
          <cell r="E450">
            <v>0</v>
          </cell>
        </row>
        <row r="451">
          <cell r="A451">
            <v>8158</v>
          </cell>
          <cell r="B451" t="str">
            <v>Povrat zajmova danih ostalim inozemnim financijskim institucijama</v>
          </cell>
          <cell r="C451" t="str">
            <v>8158</v>
          </cell>
          <cell r="D451">
            <v>0</v>
          </cell>
          <cell r="E451">
            <v>0</v>
          </cell>
        </row>
        <row r="452">
          <cell r="A452">
            <v>816</v>
          </cell>
          <cell r="B452" t="str">
            <v>Primici (povrati) glavnice zajmova danih trgovačkim društvima i obrtnicima izvan javnog sektora (šifre 8163 do 8166)</v>
          </cell>
          <cell r="C452" t="str">
            <v>816</v>
          </cell>
          <cell r="D452">
            <v>0</v>
          </cell>
          <cell r="E452">
            <v>0</v>
          </cell>
        </row>
        <row r="453">
          <cell r="A453">
            <v>8163</v>
          </cell>
          <cell r="B453" t="str">
            <v>Povrat zajmova danih tuzemnim trgovačkim društvima izvan javnog sektora</v>
          </cell>
          <cell r="C453" t="str">
            <v>8163</v>
          </cell>
          <cell r="D453">
            <v>0</v>
          </cell>
          <cell r="E453">
            <v>0</v>
          </cell>
        </row>
        <row r="454">
          <cell r="A454">
            <v>8164</v>
          </cell>
          <cell r="B454" t="str">
            <v>Povrat zajmova danih tuzemnim obrtnicima</v>
          </cell>
          <cell r="C454" t="str">
            <v>8164</v>
          </cell>
          <cell r="D454">
            <v>0</v>
          </cell>
          <cell r="E454">
            <v>0</v>
          </cell>
        </row>
        <row r="455">
          <cell r="A455">
            <v>8165</v>
          </cell>
          <cell r="B455" t="str">
            <v>Povrat zajmova danih inozemnim trgovačkim društvima</v>
          </cell>
          <cell r="C455" t="str">
            <v>8165</v>
          </cell>
          <cell r="D455">
            <v>0</v>
          </cell>
          <cell r="E455">
            <v>0</v>
          </cell>
        </row>
        <row r="456">
          <cell r="A456">
            <v>8166</v>
          </cell>
          <cell r="B456" t="str">
            <v>Povrat zajmova danih inozemnim obrtnicima</v>
          </cell>
          <cell r="C456" t="str">
            <v>8166</v>
          </cell>
          <cell r="D456">
            <v>0</v>
          </cell>
          <cell r="E456">
            <v>0</v>
          </cell>
        </row>
        <row r="457">
          <cell r="A457">
            <v>817</v>
          </cell>
          <cell r="B457" t="str">
            <v>Povrat zajmova danih drugim razinama vlasti (šifre 8171 do 8177)</v>
          </cell>
          <cell r="C457" t="str">
            <v>817</v>
          </cell>
          <cell r="D457">
            <v>0</v>
          </cell>
          <cell r="E457">
            <v>0</v>
          </cell>
        </row>
        <row r="458">
          <cell r="A458">
            <v>8171</v>
          </cell>
          <cell r="B458" t="str">
            <v>Povrat zajmova danih državnom proračunu</v>
          </cell>
          <cell r="C458" t="str">
            <v>8171</v>
          </cell>
          <cell r="D458">
            <v>0</v>
          </cell>
          <cell r="E458">
            <v>0</v>
          </cell>
        </row>
        <row r="459">
          <cell r="A459">
            <v>8172</v>
          </cell>
          <cell r="B459" t="str">
            <v>Povrat zajmova danih županijskim proračunima</v>
          </cell>
          <cell r="C459" t="str">
            <v>8172</v>
          </cell>
          <cell r="D459">
            <v>0</v>
          </cell>
          <cell r="E459">
            <v>0</v>
          </cell>
        </row>
        <row r="460">
          <cell r="A460">
            <v>8173</v>
          </cell>
          <cell r="B460" t="str">
            <v>Povrat zajmova danih gradskim proračunima</v>
          </cell>
          <cell r="C460" t="str">
            <v>8173</v>
          </cell>
          <cell r="D460">
            <v>0</v>
          </cell>
          <cell r="E460">
            <v>0</v>
          </cell>
        </row>
        <row r="461">
          <cell r="A461">
            <v>8174</v>
          </cell>
          <cell r="B461" t="str">
            <v>Povrat zajmova danih općinskim proračunima</v>
          </cell>
          <cell r="C461" t="str">
            <v>8174</v>
          </cell>
          <cell r="D461">
            <v>0</v>
          </cell>
          <cell r="E461">
            <v>0</v>
          </cell>
        </row>
        <row r="462">
          <cell r="A462">
            <v>8175</v>
          </cell>
          <cell r="B462" t="str">
            <v>Povrat zajmova danih HZMO-u, HZZ-u i HZZO-u</v>
          </cell>
          <cell r="C462" t="str">
            <v>8175</v>
          </cell>
          <cell r="D462">
            <v>0</v>
          </cell>
          <cell r="E462">
            <v>0</v>
          </cell>
        </row>
        <row r="463">
          <cell r="A463">
            <v>8176</v>
          </cell>
          <cell r="B463" t="str">
            <v>Povrat zajmova danih ostalim izvanproračunskim korisnicima državnog proračuna</v>
          </cell>
          <cell r="C463" t="str">
            <v>8176</v>
          </cell>
          <cell r="D463">
            <v>0</v>
          </cell>
          <cell r="E463">
            <v>0</v>
          </cell>
        </row>
        <row r="464">
          <cell r="A464">
            <v>8177</v>
          </cell>
          <cell r="B464" t="str">
            <v>Povrat zajmova danih izvanproračunskim korisnicima JLP(R)S</v>
          </cell>
          <cell r="C464" t="str">
            <v>8177</v>
          </cell>
          <cell r="D464">
            <v>0</v>
          </cell>
          <cell r="E464">
            <v>0</v>
          </cell>
        </row>
        <row r="465">
          <cell r="A465" t="str">
            <v>818</v>
          </cell>
          <cell r="B465" t="str">
            <v>Primici od povrata jamčevnih pologa</v>
          </cell>
          <cell r="C465" t="str">
            <v>818</v>
          </cell>
          <cell r="D465">
            <v>0</v>
          </cell>
          <cell r="E465">
            <v>0</v>
          </cell>
        </row>
        <row r="466">
          <cell r="A466">
            <v>82</v>
          </cell>
          <cell r="B466" t="str">
            <v>Primici od izdanih financijskih instrumenata - vrijednosnih papira (šifre 821+822+823+824)</v>
          </cell>
          <cell r="C466" t="str">
            <v>82</v>
          </cell>
          <cell r="D466">
            <v>0</v>
          </cell>
          <cell r="E466">
            <v>0</v>
          </cell>
        </row>
        <row r="467">
          <cell r="A467">
            <v>821</v>
          </cell>
          <cell r="B467" t="str">
            <v>Trezorski zapisi (šifre 8211+8212)</v>
          </cell>
          <cell r="C467" t="str">
            <v>821</v>
          </cell>
          <cell r="D467">
            <v>0</v>
          </cell>
          <cell r="E467">
            <v>0</v>
          </cell>
        </row>
        <row r="468">
          <cell r="A468">
            <v>8211</v>
          </cell>
          <cell r="B468" t="str">
            <v>Trezorski zapisi - tuzemni</v>
          </cell>
          <cell r="C468" t="str">
            <v>8211</v>
          </cell>
          <cell r="D468">
            <v>0</v>
          </cell>
          <cell r="E468">
            <v>0</v>
          </cell>
        </row>
        <row r="469">
          <cell r="A469">
            <v>8212</v>
          </cell>
          <cell r="B469" t="str">
            <v>Trezorski zapisi - inozemni</v>
          </cell>
          <cell r="C469" t="str">
            <v>8212</v>
          </cell>
          <cell r="D469">
            <v>0</v>
          </cell>
          <cell r="E469">
            <v>0</v>
          </cell>
        </row>
        <row r="470">
          <cell r="A470">
            <v>822</v>
          </cell>
          <cell r="B470" t="str">
            <v>Obveznice (šifre 8221+8222)</v>
          </cell>
          <cell r="C470" t="str">
            <v>822</v>
          </cell>
          <cell r="D470">
            <v>0</v>
          </cell>
          <cell r="E470">
            <v>0</v>
          </cell>
        </row>
        <row r="471">
          <cell r="A471">
            <v>8221</v>
          </cell>
          <cell r="B471" t="str">
            <v>Obveznice - tuzemne</v>
          </cell>
          <cell r="C471" t="str">
            <v>8221</v>
          </cell>
          <cell r="D471">
            <v>0</v>
          </cell>
          <cell r="E471">
            <v>0</v>
          </cell>
        </row>
        <row r="472">
          <cell r="A472">
            <v>8222</v>
          </cell>
          <cell r="B472" t="str">
            <v>Obveznice - inozemne</v>
          </cell>
          <cell r="C472" t="str">
            <v>8222</v>
          </cell>
          <cell r="D472">
            <v>0</v>
          </cell>
          <cell r="E472">
            <v>0</v>
          </cell>
        </row>
        <row r="473">
          <cell r="A473">
            <v>823</v>
          </cell>
          <cell r="B473" t="str">
            <v>Opcije i drugi financijski derivati (šifre 8231+8232)</v>
          </cell>
          <cell r="C473" t="str">
            <v>823</v>
          </cell>
          <cell r="D473">
            <v>0</v>
          </cell>
          <cell r="E473">
            <v>0</v>
          </cell>
        </row>
        <row r="474">
          <cell r="A474">
            <v>8231</v>
          </cell>
          <cell r="B474" t="str">
            <v>Opcije i drugi financijski derivati - tuzemni</v>
          </cell>
          <cell r="C474" t="str">
            <v>8231</v>
          </cell>
          <cell r="D474">
            <v>0</v>
          </cell>
          <cell r="E474">
            <v>0</v>
          </cell>
        </row>
        <row r="475">
          <cell r="A475">
            <v>8232</v>
          </cell>
          <cell r="B475" t="str">
            <v>Opcije i drugi financijski derivati - inozemni</v>
          </cell>
          <cell r="C475" t="str">
            <v>8232</v>
          </cell>
          <cell r="D475">
            <v>0</v>
          </cell>
          <cell r="E475">
            <v>0</v>
          </cell>
        </row>
        <row r="476">
          <cell r="A476">
            <v>824</v>
          </cell>
          <cell r="B476" t="str">
            <v>Ostali vrijednosni papiri (šifre 8241+8242)</v>
          </cell>
          <cell r="C476" t="str">
            <v>824</v>
          </cell>
          <cell r="D476">
            <v>0</v>
          </cell>
          <cell r="E476">
            <v>0</v>
          </cell>
        </row>
        <row r="477">
          <cell r="A477">
            <v>8241</v>
          </cell>
          <cell r="B477" t="str">
            <v>Ostali vrijednosni papiri - tuzemni</v>
          </cell>
          <cell r="C477" t="str">
            <v>8241</v>
          </cell>
          <cell r="D477">
            <v>0</v>
          </cell>
          <cell r="E477">
            <v>0</v>
          </cell>
        </row>
        <row r="478">
          <cell r="A478">
            <v>8242</v>
          </cell>
          <cell r="B478" t="str">
            <v>Ostali vrijednosni papiri - inozemni</v>
          </cell>
          <cell r="C478" t="str">
            <v>8242</v>
          </cell>
          <cell r="D478">
            <v>0</v>
          </cell>
          <cell r="E478">
            <v>0</v>
          </cell>
        </row>
        <row r="479">
          <cell r="A479">
            <v>83</v>
          </cell>
          <cell r="B479" t="str">
            <v>Primici od prodaje financijskih instrumenata - dionica i udjela u glavnici (šifre 831+832+833+834)</v>
          </cell>
          <cell r="C479" t="str">
            <v>83</v>
          </cell>
          <cell r="D479">
            <v>0</v>
          </cell>
          <cell r="E479">
            <v>0</v>
          </cell>
        </row>
        <row r="480">
          <cell r="A480">
            <v>831</v>
          </cell>
          <cell r="B480" t="str">
            <v>Primici od prodaje dionica i udjela u glavnici kreditnih i ostalih financijskih institucija u javnom sektoru (šifre 8312 do 8314)</v>
          </cell>
          <cell r="C480" t="str">
            <v>831</v>
          </cell>
          <cell r="D480">
            <v>0</v>
          </cell>
          <cell r="E480">
            <v>0</v>
          </cell>
        </row>
        <row r="481">
          <cell r="A481">
            <v>8312</v>
          </cell>
          <cell r="B481" t="str">
            <v>Dionice i udjeli u glavnici kreditnih institucija u javnom sektoru</v>
          </cell>
          <cell r="C481" t="str">
            <v>8312</v>
          </cell>
          <cell r="D481">
            <v>0</v>
          </cell>
          <cell r="E481">
            <v>0</v>
          </cell>
        </row>
        <row r="482">
          <cell r="A482">
            <v>8313</v>
          </cell>
          <cell r="B482" t="str">
            <v>Dionice i udjeli u glavnici osiguravajućih društava u javnom sektoru</v>
          </cell>
          <cell r="C482" t="str">
            <v>8313</v>
          </cell>
          <cell r="D482">
            <v>0</v>
          </cell>
          <cell r="E482">
            <v>0</v>
          </cell>
        </row>
        <row r="483">
          <cell r="A483">
            <v>8314</v>
          </cell>
          <cell r="B483" t="str">
            <v>Dionice i udjeli u glavnici ostalih financijskih institucija u javnom sektoru</v>
          </cell>
          <cell r="C483" t="str">
            <v>8314</v>
          </cell>
          <cell r="D483">
            <v>0</v>
          </cell>
          <cell r="E483">
            <v>0</v>
          </cell>
        </row>
        <row r="484">
          <cell r="A484">
            <v>832</v>
          </cell>
          <cell r="B484" t="str">
            <v>Primici od prodaje dionica i udjela u glavnici trgovačkih društava u javnom sektoru</v>
          </cell>
          <cell r="C484" t="str">
            <v>832</v>
          </cell>
          <cell r="D484">
            <v>0</v>
          </cell>
          <cell r="E484">
            <v>0</v>
          </cell>
        </row>
        <row r="485">
          <cell r="A485">
            <v>833</v>
          </cell>
          <cell r="B485" t="str">
            <v>Primici od prodaje dionica i udjela u glavnici kreditnih i ostalih financijskih institucija izvan javnog sektora (šifre 8331+8332)</v>
          </cell>
          <cell r="C485" t="str">
            <v>833</v>
          </cell>
          <cell r="D485">
            <v>0</v>
          </cell>
          <cell r="E485">
            <v>0</v>
          </cell>
        </row>
        <row r="486">
          <cell r="A486">
            <v>8331</v>
          </cell>
          <cell r="B486" t="str">
            <v xml:space="preserve">Dionice i udjeli u glavnici tuzemnih kreditnih i ostalih financijskih institucija izvan javnog sektora </v>
          </cell>
          <cell r="C486" t="str">
            <v>8331</v>
          </cell>
          <cell r="D486">
            <v>0</v>
          </cell>
          <cell r="E486">
            <v>0</v>
          </cell>
        </row>
        <row r="487">
          <cell r="A487">
            <v>8332</v>
          </cell>
          <cell r="B487" t="str">
            <v xml:space="preserve">Dionice i udjeli u glavnici inozemnih kreditnih i ostalih financijskih institucija </v>
          </cell>
          <cell r="C487" t="str">
            <v>8332</v>
          </cell>
          <cell r="D487">
            <v>0</v>
          </cell>
          <cell r="E487">
            <v>0</v>
          </cell>
        </row>
        <row r="488">
          <cell r="A488">
            <v>834</v>
          </cell>
          <cell r="B488" t="str">
            <v>Primici od prodaje dionica i udjela u glavnici trgovačkih društava izvan javnog sektora (šifre 8341+8342)</v>
          </cell>
          <cell r="C488" t="str">
            <v>834</v>
          </cell>
          <cell r="D488">
            <v>0</v>
          </cell>
          <cell r="E488">
            <v>0</v>
          </cell>
        </row>
        <row r="489">
          <cell r="A489">
            <v>8341</v>
          </cell>
          <cell r="B489" t="str">
            <v>Dionice i udjeli u glavnici tuzemnih trgovačkih društava izvan javnog sektora</v>
          </cell>
          <cell r="C489" t="str">
            <v>8341</v>
          </cell>
          <cell r="D489">
            <v>0</v>
          </cell>
          <cell r="E489">
            <v>0</v>
          </cell>
        </row>
        <row r="490">
          <cell r="A490">
            <v>8342</v>
          </cell>
          <cell r="B490" t="str">
            <v>Dionice i udjeli u glavnici inozemnih trgovačkih društava</v>
          </cell>
          <cell r="C490" t="str">
            <v>8342</v>
          </cell>
          <cell r="D490">
            <v>0</v>
          </cell>
          <cell r="E490">
            <v>0</v>
          </cell>
        </row>
        <row r="491">
          <cell r="A491">
            <v>84</v>
          </cell>
          <cell r="B491" t="str">
            <v>Primici od zaduživanja (šifre 841+842+843+844+845+847)</v>
          </cell>
          <cell r="C491" t="str">
            <v>84</v>
          </cell>
          <cell r="D491">
            <v>0</v>
          </cell>
          <cell r="E491">
            <v>0</v>
          </cell>
        </row>
        <row r="492">
          <cell r="A492">
            <v>841</v>
          </cell>
          <cell r="B492" t="str">
            <v>Primljeni krediti i zajmovi od međunarodnih organizacija, institucija i tijela EU te inozemnih vlada (šifre 8413 do 8416)</v>
          </cell>
          <cell r="C492" t="str">
            <v>841</v>
          </cell>
          <cell r="D492">
            <v>0</v>
          </cell>
          <cell r="E492">
            <v>0</v>
          </cell>
        </row>
        <row r="493">
          <cell r="A493">
            <v>8413</v>
          </cell>
          <cell r="B493" t="str">
            <v>Primljeni zajmovi od međunarodnih organizacija</v>
          </cell>
          <cell r="C493" t="str">
            <v>8413</v>
          </cell>
          <cell r="D493">
            <v>0</v>
          </cell>
          <cell r="E493">
            <v>0</v>
          </cell>
        </row>
        <row r="494">
          <cell r="A494">
            <v>8414</v>
          </cell>
          <cell r="B494" t="str">
            <v>Primljeni krediti i zajmovi od institucija i tijela EU</v>
          </cell>
          <cell r="C494" t="str">
            <v>8414</v>
          </cell>
          <cell r="D494">
            <v>0</v>
          </cell>
          <cell r="E494">
            <v>0</v>
          </cell>
        </row>
        <row r="495">
          <cell r="A495">
            <v>8415</v>
          </cell>
          <cell r="B495" t="str">
            <v>Primljeni zajmovi od inozemnih vlada u EU</v>
          </cell>
          <cell r="C495" t="str">
            <v>8415</v>
          </cell>
          <cell r="D495">
            <v>0</v>
          </cell>
          <cell r="E495">
            <v>0</v>
          </cell>
        </row>
        <row r="496">
          <cell r="A496">
            <v>8416</v>
          </cell>
          <cell r="B496" t="str">
            <v>Primljeni zajmovi od inozemnih vlada izvan EU</v>
          </cell>
          <cell r="C496" t="str">
            <v>8416</v>
          </cell>
          <cell r="D496">
            <v>0</v>
          </cell>
          <cell r="E496">
            <v>0</v>
          </cell>
        </row>
        <row r="497">
          <cell r="A497">
            <v>842</v>
          </cell>
          <cell r="B497" t="str">
            <v>Primljeni krediti i zajmovi od kreditnih i ostalih financijskih institucija u javnom sektoru (šifre 8422 do 8424)</v>
          </cell>
          <cell r="C497" t="str">
            <v>842</v>
          </cell>
          <cell r="D497">
            <v>0</v>
          </cell>
          <cell r="E497">
            <v>0</v>
          </cell>
        </row>
        <row r="498">
          <cell r="A498">
            <v>8422</v>
          </cell>
          <cell r="B498" t="str">
            <v>Primljeni krediti od kreditnih institucija u javnom sektoru</v>
          </cell>
          <cell r="C498" t="str">
            <v>8422</v>
          </cell>
          <cell r="D498">
            <v>0</v>
          </cell>
          <cell r="E498">
            <v>0</v>
          </cell>
        </row>
        <row r="499">
          <cell r="A499">
            <v>8423</v>
          </cell>
          <cell r="B499" t="str">
            <v>Primljeni zajmovi od osiguravajućih društava u javnom sektoru</v>
          </cell>
          <cell r="C499" t="str">
            <v>8423</v>
          </cell>
          <cell r="D499">
            <v>0</v>
          </cell>
          <cell r="E499">
            <v>0</v>
          </cell>
        </row>
        <row r="500">
          <cell r="A500">
            <v>8424</v>
          </cell>
          <cell r="B500" t="str">
            <v>Primljeni zajmovi od ostalih financijskih institucija u javnom sektoru</v>
          </cell>
          <cell r="C500" t="str">
            <v>8424</v>
          </cell>
          <cell r="D500">
            <v>0</v>
          </cell>
          <cell r="E500">
            <v>0</v>
          </cell>
        </row>
        <row r="501">
          <cell r="A501">
            <v>843</v>
          </cell>
          <cell r="B501" t="str">
            <v>Primljeni zajmovi od trgovačkih društava u javnom sektoru</v>
          </cell>
          <cell r="C501" t="str">
            <v>843</v>
          </cell>
          <cell r="D501">
            <v>0</v>
          </cell>
          <cell r="E501">
            <v>0</v>
          </cell>
        </row>
        <row r="502">
          <cell r="A502">
            <v>844</v>
          </cell>
          <cell r="B502" t="str">
            <v>Primljeni krediti i zajmovi od kreditnih i ostalih financijskih institucija izvan javnog sektora (šifre 8443 do 8448)</v>
          </cell>
          <cell r="C502" t="str">
            <v>844</v>
          </cell>
          <cell r="D502">
            <v>0</v>
          </cell>
          <cell r="E502">
            <v>0</v>
          </cell>
        </row>
        <row r="503">
          <cell r="A503">
            <v>8443</v>
          </cell>
          <cell r="B503" t="str">
            <v>Primljeni krediti od tuzemnih kreditnih institucija izvan javnog sektora</v>
          </cell>
          <cell r="C503" t="str">
            <v>8443</v>
          </cell>
          <cell r="D503">
            <v>0</v>
          </cell>
          <cell r="E503">
            <v>0</v>
          </cell>
        </row>
        <row r="504">
          <cell r="A504">
            <v>8444</v>
          </cell>
          <cell r="B504" t="str">
            <v>Primljeni zajmovi od tuzemnih osiguravajućih društava izvan javnog sektora</v>
          </cell>
          <cell r="C504" t="str">
            <v>8444</v>
          </cell>
          <cell r="D504">
            <v>0</v>
          </cell>
          <cell r="E504">
            <v>0</v>
          </cell>
        </row>
        <row r="505">
          <cell r="A505">
            <v>8445</v>
          </cell>
          <cell r="B505" t="str">
            <v>Primljeni zajmovi od ostalih tuzemnih financijskih institucija izvan javnog sektora</v>
          </cell>
          <cell r="C505" t="str">
            <v>8445</v>
          </cell>
          <cell r="D505">
            <v>0</v>
          </cell>
          <cell r="E505">
            <v>0</v>
          </cell>
        </row>
        <row r="506">
          <cell r="A506">
            <v>8446</v>
          </cell>
          <cell r="B506" t="str">
            <v>Primljeni krediti od inozemnih kreditnih institucija</v>
          </cell>
          <cell r="C506" t="str">
            <v>8446</v>
          </cell>
          <cell r="D506">
            <v>0</v>
          </cell>
          <cell r="E506">
            <v>0</v>
          </cell>
        </row>
        <row r="507">
          <cell r="A507">
            <v>8447</v>
          </cell>
          <cell r="B507" t="str">
            <v>Primljeni zajmovi od inozemnih osiguravajućih društava</v>
          </cell>
          <cell r="C507" t="str">
            <v>8447</v>
          </cell>
          <cell r="D507">
            <v>0</v>
          </cell>
          <cell r="E507">
            <v>0</v>
          </cell>
        </row>
        <row r="508">
          <cell r="A508">
            <v>8448</v>
          </cell>
          <cell r="B508" t="str">
            <v>Primljeni zajmovi od ostalih inozemnih financijskih institucija</v>
          </cell>
          <cell r="C508" t="str">
            <v>8448</v>
          </cell>
          <cell r="D508">
            <v>0</v>
          </cell>
          <cell r="E508">
            <v>0</v>
          </cell>
        </row>
        <row r="509">
          <cell r="A509">
            <v>845</v>
          </cell>
          <cell r="B509" t="str">
            <v>Primljeni zajmovi od trgovačkih društava i obrtnika izvan javnog sektora (šifre 8453 do 8456)</v>
          </cell>
          <cell r="C509" t="str">
            <v>845</v>
          </cell>
          <cell r="D509">
            <v>0</v>
          </cell>
          <cell r="E509">
            <v>0</v>
          </cell>
        </row>
        <row r="510">
          <cell r="A510">
            <v>8453</v>
          </cell>
          <cell r="B510" t="str">
            <v>Primljeni zajmovi od tuzemnih trgovačkih društava izvan javnog sektora</v>
          </cell>
          <cell r="C510" t="str">
            <v>8453</v>
          </cell>
          <cell r="D510">
            <v>0</v>
          </cell>
          <cell r="E510">
            <v>0</v>
          </cell>
        </row>
        <row r="511">
          <cell r="A511">
            <v>8454</v>
          </cell>
          <cell r="B511" t="str">
            <v>Primljeni zajmovi od tuzemnih obrtnika</v>
          </cell>
          <cell r="C511" t="str">
            <v>8454</v>
          </cell>
          <cell r="D511">
            <v>0</v>
          </cell>
          <cell r="E511">
            <v>0</v>
          </cell>
        </row>
        <row r="512">
          <cell r="A512">
            <v>8455</v>
          </cell>
          <cell r="B512" t="str">
            <v>Primljeni zajmovi od inozemnih trgovačkih društava</v>
          </cell>
          <cell r="C512" t="str">
            <v>8455</v>
          </cell>
          <cell r="D512">
            <v>0</v>
          </cell>
          <cell r="E512">
            <v>0</v>
          </cell>
        </row>
        <row r="513">
          <cell r="A513">
            <v>8456</v>
          </cell>
          <cell r="B513" t="str">
            <v>Primljeni zajmovi od inozemnih obrtnika</v>
          </cell>
          <cell r="C513" t="str">
            <v>8456</v>
          </cell>
          <cell r="D513">
            <v>0</v>
          </cell>
          <cell r="E513">
            <v>0</v>
          </cell>
        </row>
        <row r="514">
          <cell r="A514">
            <v>847</v>
          </cell>
          <cell r="B514" t="str">
            <v>Primljeni zajmovi od drugih razina vlasti (šifre 8471 do 8477)</v>
          </cell>
          <cell r="C514" t="str">
            <v>847</v>
          </cell>
          <cell r="D514">
            <v>0</v>
          </cell>
          <cell r="E514">
            <v>0</v>
          </cell>
        </row>
        <row r="515">
          <cell r="A515">
            <v>8471</v>
          </cell>
          <cell r="B515" t="str">
            <v>Primljeni zajmovi od državnog proračuna</v>
          </cell>
          <cell r="C515" t="str">
            <v>8471</v>
          </cell>
          <cell r="D515">
            <v>0</v>
          </cell>
          <cell r="E515">
            <v>0</v>
          </cell>
        </row>
        <row r="516">
          <cell r="A516">
            <v>8472</v>
          </cell>
          <cell r="B516" t="str">
            <v>Primljeni zajmovi od županijskih proračuna</v>
          </cell>
          <cell r="C516" t="str">
            <v>8472</v>
          </cell>
          <cell r="D516">
            <v>0</v>
          </cell>
          <cell r="E516">
            <v>0</v>
          </cell>
        </row>
        <row r="517">
          <cell r="A517">
            <v>8473</v>
          </cell>
          <cell r="B517" t="str">
            <v>Primljeni zajmovi od gradskih proračuna</v>
          </cell>
          <cell r="C517" t="str">
            <v>8473</v>
          </cell>
          <cell r="D517">
            <v>0</v>
          </cell>
          <cell r="E517">
            <v>0</v>
          </cell>
        </row>
        <row r="518">
          <cell r="A518">
            <v>8474</v>
          </cell>
          <cell r="B518" t="str">
            <v>Primljeni zajmovi od općinskih proračuna</v>
          </cell>
          <cell r="C518" t="str">
            <v>8474</v>
          </cell>
          <cell r="D518">
            <v>0</v>
          </cell>
          <cell r="E518">
            <v>0</v>
          </cell>
        </row>
        <row r="519">
          <cell r="A519">
            <v>8475</v>
          </cell>
          <cell r="B519" t="str">
            <v>Primljeni zajmovi od HZMO-a, HZZ-a i HZZO-a</v>
          </cell>
          <cell r="C519" t="str">
            <v>8475</v>
          </cell>
          <cell r="D519">
            <v>0</v>
          </cell>
          <cell r="E519">
            <v>0</v>
          </cell>
        </row>
        <row r="520">
          <cell r="A520">
            <v>8476</v>
          </cell>
          <cell r="B520" t="str">
            <v>Primljeni zajmovi od ostalih izvanproračunskih korisnika državnog proračuna</v>
          </cell>
          <cell r="C520" t="str">
            <v>8476</v>
          </cell>
          <cell r="D520">
            <v>0</v>
          </cell>
          <cell r="E520">
            <v>0</v>
          </cell>
        </row>
        <row r="521">
          <cell r="A521" t="str">
            <v>8477</v>
          </cell>
          <cell r="B521" t="str">
            <v>Primljeni zajmovi od izvanproračunskih korisnika JLP(R)S</v>
          </cell>
          <cell r="C521" t="str">
            <v>8477</v>
          </cell>
          <cell r="D521">
            <v>0</v>
          </cell>
          <cell r="E521">
            <v>0</v>
          </cell>
        </row>
        <row r="522">
          <cell r="A522">
            <v>85</v>
          </cell>
          <cell r="B522" t="str">
            <v>Primici od prodaje financijskih instrumenata - vrijednosnih papira iz portfelja (šifre 851+852+853+854)</v>
          </cell>
          <cell r="C522" t="str">
            <v>85</v>
          </cell>
          <cell r="D522">
            <v>0</v>
          </cell>
          <cell r="E522">
            <v>0</v>
          </cell>
        </row>
        <row r="523">
          <cell r="A523">
            <v>851</v>
          </cell>
          <cell r="B523" t="str">
            <v>Primici za komercijalne i blagajničke zapise (šifre 8511+8512)</v>
          </cell>
          <cell r="C523" t="str">
            <v>851</v>
          </cell>
          <cell r="D523">
            <v>0</v>
          </cell>
          <cell r="E523">
            <v>0</v>
          </cell>
        </row>
        <row r="524">
          <cell r="A524">
            <v>8511</v>
          </cell>
          <cell r="B524" t="str">
            <v>Komercijalni i blagajnički zapisi – tuzemni</v>
          </cell>
          <cell r="C524" t="str">
            <v>8511</v>
          </cell>
          <cell r="D524">
            <v>0</v>
          </cell>
          <cell r="E524">
            <v>0</v>
          </cell>
        </row>
        <row r="525">
          <cell r="A525">
            <v>8512</v>
          </cell>
          <cell r="B525" t="str">
            <v>Komercijalni i blagajnički zapisi – inozemni</v>
          </cell>
          <cell r="C525" t="str">
            <v>8512</v>
          </cell>
          <cell r="D525">
            <v>0</v>
          </cell>
          <cell r="E525">
            <v>0</v>
          </cell>
        </row>
        <row r="526">
          <cell r="A526">
            <v>852</v>
          </cell>
          <cell r="B526" t="str">
            <v>Primici za obveznice (šifre 8521+8522)</v>
          </cell>
          <cell r="C526" t="str">
            <v>852</v>
          </cell>
          <cell r="D526">
            <v>0</v>
          </cell>
          <cell r="E526">
            <v>0</v>
          </cell>
        </row>
        <row r="527">
          <cell r="A527">
            <v>8521</v>
          </cell>
          <cell r="B527" t="str">
            <v>Obveznice – tuzemne</v>
          </cell>
          <cell r="C527" t="str">
            <v>8521</v>
          </cell>
          <cell r="D527">
            <v>0</v>
          </cell>
          <cell r="E527">
            <v>0</v>
          </cell>
        </row>
        <row r="528">
          <cell r="A528">
            <v>8522</v>
          </cell>
          <cell r="B528" t="str">
            <v>Obveznice – inozemne</v>
          </cell>
          <cell r="C528" t="str">
            <v>8522</v>
          </cell>
          <cell r="D528">
            <v>0</v>
          </cell>
          <cell r="E528">
            <v>0</v>
          </cell>
        </row>
        <row r="529">
          <cell r="A529">
            <v>853</v>
          </cell>
          <cell r="B529" t="str">
            <v>Primici za opcije i druge financijske derivate (šifre 8531+8532)</v>
          </cell>
          <cell r="C529" t="str">
            <v>853</v>
          </cell>
          <cell r="D529">
            <v>0</v>
          </cell>
          <cell r="E529">
            <v>0</v>
          </cell>
        </row>
        <row r="530">
          <cell r="A530">
            <v>8531</v>
          </cell>
          <cell r="B530" t="str">
            <v>Opcije i drugi financijski derivati – tuzemni</v>
          </cell>
          <cell r="C530" t="str">
            <v>8531</v>
          </cell>
          <cell r="D530">
            <v>0</v>
          </cell>
          <cell r="E530">
            <v>0</v>
          </cell>
        </row>
        <row r="531">
          <cell r="A531">
            <v>8532</v>
          </cell>
          <cell r="B531" t="str">
            <v>Opcije i drugi financijski derivati – inozemni</v>
          </cell>
          <cell r="C531" t="str">
            <v>8532</v>
          </cell>
          <cell r="D531">
            <v>0</v>
          </cell>
          <cell r="E531">
            <v>0</v>
          </cell>
        </row>
        <row r="532">
          <cell r="A532">
            <v>854</v>
          </cell>
          <cell r="B532" t="str">
            <v>Primici za ostale vrijednosne papire (šifre 8541+8542)</v>
          </cell>
          <cell r="C532" t="str">
            <v>854</v>
          </cell>
          <cell r="D532">
            <v>0</v>
          </cell>
          <cell r="E532">
            <v>0</v>
          </cell>
        </row>
        <row r="533">
          <cell r="A533">
            <v>8541</v>
          </cell>
          <cell r="B533" t="str">
            <v>Ostali tuzemni vrijednosni papiri</v>
          </cell>
          <cell r="C533" t="str">
            <v>8541</v>
          </cell>
          <cell r="D533">
            <v>0</v>
          </cell>
          <cell r="E533">
            <v>0</v>
          </cell>
        </row>
        <row r="534">
          <cell r="A534">
            <v>8542</v>
          </cell>
          <cell r="B534" t="str">
            <v>Ostali inozemni vrijednosni papiri</v>
          </cell>
          <cell r="C534" t="str">
            <v>8542</v>
          </cell>
          <cell r="D534">
            <v>0</v>
          </cell>
          <cell r="E534">
            <v>0</v>
          </cell>
        </row>
        <row r="535">
          <cell r="A535">
            <v>5</v>
          </cell>
          <cell r="B535" t="str">
            <v>Izdaci za financijsku imovinu i otplate zajmova (šifre 51+52+53+54+55)</v>
          </cell>
          <cell r="C535" t="str">
            <v>5</v>
          </cell>
          <cell r="D535">
            <v>0</v>
          </cell>
          <cell r="E535">
            <v>0</v>
          </cell>
        </row>
        <row r="536">
          <cell r="A536">
            <v>51</v>
          </cell>
          <cell r="B536" t="str">
            <v>Izdaci za dane zajmove i jamčevne pologe (šifre 511+512+513+514+515+516+517+518)</v>
          </cell>
          <cell r="C536" t="str">
            <v>51</v>
          </cell>
          <cell r="D536">
            <v>0</v>
          </cell>
          <cell r="E536">
            <v>0</v>
          </cell>
        </row>
        <row r="537">
          <cell r="A537">
            <v>511</v>
          </cell>
          <cell r="B537" t="str">
            <v>Izdaci za dane zajmove međunarodnim organizacijama, institucijama i tijelima EU te inozemnim vladama (šifre 5113 do 5116)</v>
          </cell>
          <cell r="C537" t="str">
            <v>511</v>
          </cell>
          <cell r="D537">
            <v>0</v>
          </cell>
          <cell r="E537">
            <v>0</v>
          </cell>
        </row>
        <row r="538">
          <cell r="A538">
            <v>5113</v>
          </cell>
          <cell r="B538" t="str">
            <v>Dani zajmovi međunarodnim organizacijama</v>
          </cell>
          <cell r="C538" t="str">
            <v>5113</v>
          </cell>
          <cell r="D538">
            <v>0</v>
          </cell>
          <cell r="E538">
            <v>0</v>
          </cell>
        </row>
        <row r="539">
          <cell r="A539">
            <v>5114</v>
          </cell>
          <cell r="B539" t="str">
            <v>Dani zajmovi institucijama i tijelima EU</v>
          </cell>
          <cell r="C539" t="str">
            <v>5114</v>
          </cell>
          <cell r="D539">
            <v>0</v>
          </cell>
          <cell r="E539">
            <v>0</v>
          </cell>
        </row>
        <row r="540">
          <cell r="A540">
            <v>5115</v>
          </cell>
          <cell r="B540" t="str">
            <v>Dani zajmovi inozemnim vladama u EU</v>
          </cell>
          <cell r="C540" t="str">
            <v>5115</v>
          </cell>
          <cell r="D540">
            <v>0</v>
          </cell>
          <cell r="E540">
            <v>0</v>
          </cell>
        </row>
        <row r="541">
          <cell r="A541">
            <v>5116</v>
          </cell>
          <cell r="B541" t="str">
            <v>Dani zajmovi inozemnim vladama izvan EU</v>
          </cell>
          <cell r="C541" t="str">
            <v>5116</v>
          </cell>
          <cell r="D541">
            <v>0</v>
          </cell>
          <cell r="E541">
            <v>0</v>
          </cell>
        </row>
        <row r="542">
          <cell r="A542">
            <v>512</v>
          </cell>
          <cell r="B542" t="str">
            <v>Izdaci za dane zajmove neprofitnim organizacijama, građanima i kućanstvima (šifre 5121+5122)</v>
          </cell>
          <cell r="C542" t="str">
            <v>512</v>
          </cell>
          <cell r="D542">
            <v>0</v>
          </cell>
          <cell r="E542">
            <v>0</v>
          </cell>
        </row>
        <row r="543">
          <cell r="A543">
            <v>5121</v>
          </cell>
          <cell r="B543" t="str">
            <v>Dani zajmovi neprofitnim organizacijama, građanima i kućanstvima u tuzemstvu</v>
          </cell>
          <cell r="C543" t="str">
            <v>5121</v>
          </cell>
          <cell r="D543">
            <v>0</v>
          </cell>
          <cell r="E543">
            <v>0</v>
          </cell>
        </row>
        <row r="544">
          <cell r="A544">
            <v>5122</v>
          </cell>
          <cell r="B544" t="str">
            <v>Dani zajmovi neprofitnim organizacijama, građanima i kućanstvima u inozemstvu</v>
          </cell>
          <cell r="C544" t="str">
            <v>5122</v>
          </cell>
          <cell r="D544">
            <v>0</v>
          </cell>
          <cell r="E544">
            <v>0</v>
          </cell>
        </row>
        <row r="545">
          <cell r="A545">
            <v>513</v>
          </cell>
          <cell r="B545" t="str">
            <v>Izdaci za dane zajmove kreditnim i ostalim financijskim institucijama u javnom sektoru (šifre 5132 do 5134)</v>
          </cell>
          <cell r="C545" t="str">
            <v>513</v>
          </cell>
          <cell r="D545">
            <v>0</v>
          </cell>
          <cell r="E545">
            <v>0</v>
          </cell>
        </row>
        <row r="546">
          <cell r="A546">
            <v>5132</v>
          </cell>
          <cell r="B546" t="str">
            <v>Dani zajmovi kreditnim institucijama u javnom sektoru</v>
          </cell>
          <cell r="C546" t="str">
            <v>5132</v>
          </cell>
          <cell r="D546">
            <v>0</v>
          </cell>
          <cell r="E546">
            <v>0</v>
          </cell>
        </row>
        <row r="547">
          <cell r="A547">
            <v>5133</v>
          </cell>
          <cell r="B547" t="str">
            <v>Dani zajmovi osiguravajućim društvima u javnom sektoru</v>
          </cell>
          <cell r="C547" t="str">
            <v>5133</v>
          </cell>
          <cell r="D547">
            <v>0</v>
          </cell>
          <cell r="E547">
            <v>0</v>
          </cell>
        </row>
        <row r="548">
          <cell r="A548">
            <v>5134</v>
          </cell>
          <cell r="B548" t="str">
            <v>Dani zajmovi ostalim financijskim institucijama u javnom sektoru</v>
          </cell>
          <cell r="C548" t="str">
            <v>5134</v>
          </cell>
          <cell r="D548">
            <v>0</v>
          </cell>
          <cell r="E548">
            <v>0</v>
          </cell>
        </row>
        <row r="549">
          <cell r="A549">
            <v>514</v>
          </cell>
          <cell r="B549" t="str">
            <v>Izdaci za dane zajmove trgovačkim društvima u javnom sektoru</v>
          </cell>
          <cell r="C549" t="str">
            <v>514</v>
          </cell>
          <cell r="D549">
            <v>0</v>
          </cell>
          <cell r="E549">
            <v>0</v>
          </cell>
        </row>
        <row r="550">
          <cell r="A550">
            <v>515</v>
          </cell>
          <cell r="B550" t="str">
            <v>Izdaci za dane zajmove kreditnim i ostalim financijskim institucijama izvan javnog sektora (šifre 5153 do 5158)</v>
          </cell>
          <cell r="C550" t="str">
            <v>515</v>
          </cell>
          <cell r="D550">
            <v>0</v>
          </cell>
          <cell r="E550">
            <v>0</v>
          </cell>
        </row>
        <row r="551">
          <cell r="A551">
            <v>5153</v>
          </cell>
          <cell r="B551" t="str">
            <v>Dani zajmovi tuzemnim kreditnim institucijama izvan javnog sektora</v>
          </cell>
          <cell r="C551" t="str">
            <v>5153</v>
          </cell>
          <cell r="D551">
            <v>0</v>
          </cell>
          <cell r="E551">
            <v>0</v>
          </cell>
        </row>
        <row r="552">
          <cell r="A552">
            <v>5154</v>
          </cell>
          <cell r="B552" t="str">
            <v>Dani zajmovi tuzemnim osiguravajućim društvima izvan javnog sektora</v>
          </cell>
          <cell r="C552" t="str">
            <v>5154</v>
          </cell>
          <cell r="D552">
            <v>0</v>
          </cell>
          <cell r="E552">
            <v>0</v>
          </cell>
        </row>
        <row r="553">
          <cell r="A553">
            <v>5155</v>
          </cell>
          <cell r="B553" t="str">
            <v>Dani zajmovi ostalim tuzemnim financijskim institucijama izvan javnog sektora</v>
          </cell>
          <cell r="C553" t="str">
            <v>5155</v>
          </cell>
          <cell r="D553">
            <v>0</v>
          </cell>
          <cell r="E553">
            <v>0</v>
          </cell>
        </row>
        <row r="554">
          <cell r="A554">
            <v>5156</v>
          </cell>
          <cell r="B554" t="str">
            <v>Dani zajmovi inozemnim kreditnim institucijama</v>
          </cell>
          <cell r="C554" t="str">
            <v>5156</v>
          </cell>
          <cell r="D554">
            <v>0</v>
          </cell>
          <cell r="E554">
            <v>0</v>
          </cell>
        </row>
        <row r="555">
          <cell r="A555">
            <v>5157</v>
          </cell>
          <cell r="B555" t="str">
            <v>Dani zajmovi inozemnim osiguravajućim društvima</v>
          </cell>
          <cell r="C555" t="str">
            <v>5157</v>
          </cell>
          <cell r="D555">
            <v>0</v>
          </cell>
          <cell r="E555">
            <v>0</v>
          </cell>
        </row>
        <row r="556">
          <cell r="A556">
            <v>5158</v>
          </cell>
          <cell r="B556" t="str">
            <v>Dani zajmovi ostalim inozemnim financijskim institucijama</v>
          </cell>
          <cell r="C556" t="str">
            <v>5158</v>
          </cell>
          <cell r="D556">
            <v>0</v>
          </cell>
          <cell r="E556">
            <v>0</v>
          </cell>
        </row>
        <row r="557">
          <cell r="A557">
            <v>516</v>
          </cell>
          <cell r="B557" t="str">
            <v>Izdaci za dane zajmove trgovačkim društvima i obrtnicima izvan javnog sektora (šifre 5163 do 5166)</v>
          </cell>
          <cell r="C557" t="str">
            <v>516</v>
          </cell>
          <cell r="D557">
            <v>0</v>
          </cell>
          <cell r="E557">
            <v>0</v>
          </cell>
        </row>
        <row r="558">
          <cell r="A558">
            <v>5163</v>
          </cell>
          <cell r="B558" t="str">
            <v>Dani zajmovi tuzemnim trgovačkim društvima izvan javnog sektora</v>
          </cell>
          <cell r="C558" t="str">
            <v>5163</v>
          </cell>
          <cell r="D558">
            <v>0</v>
          </cell>
          <cell r="E558">
            <v>0</v>
          </cell>
        </row>
        <row r="559">
          <cell r="A559">
            <v>5164</v>
          </cell>
          <cell r="B559" t="str">
            <v>Dani zajmovi tuzemnim obrtnicima</v>
          </cell>
          <cell r="C559" t="str">
            <v>5164</v>
          </cell>
          <cell r="D559">
            <v>0</v>
          </cell>
          <cell r="E559">
            <v>0</v>
          </cell>
        </row>
        <row r="560">
          <cell r="A560">
            <v>5165</v>
          </cell>
          <cell r="B560" t="str">
            <v>Dani zajmovi inozemnim trgovačkim društvima</v>
          </cell>
          <cell r="C560" t="str">
            <v>5165</v>
          </cell>
          <cell r="D560">
            <v>0</v>
          </cell>
          <cell r="E560">
            <v>0</v>
          </cell>
        </row>
        <row r="561">
          <cell r="A561">
            <v>5166</v>
          </cell>
          <cell r="B561" t="str">
            <v>Dani zajmovi inozemnim obrtnicima</v>
          </cell>
          <cell r="C561" t="str">
            <v>5166</v>
          </cell>
          <cell r="D561">
            <v>0</v>
          </cell>
          <cell r="E561">
            <v>0</v>
          </cell>
        </row>
        <row r="562">
          <cell r="A562">
            <v>517</v>
          </cell>
          <cell r="B562" t="str">
            <v>Dani zajmovi drugim razinama vlasti (šifre 5171 do 5177)</v>
          </cell>
          <cell r="C562" t="str">
            <v>517</v>
          </cell>
          <cell r="D562">
            <v>0</v>
          </cell>
          <cell r="E562">
            <v>0</v>
          </cell>
        </row>
        <row r="563">
          <cell r="A563">
            <v>5171</v>
          </cell>
          <cell r="B563" t="str">
            <v>Dani zajmovi državnom proračunu</v>
          </cell>
          <cell r="C563" t="str">
            <v>5171</v>
          </cell>
          <cell r="D563">
            <v>0</v>
          </cell>
          <cell r="E563">
            <v>0</v>
          </cell>
        </row>
        <row r="564">
          <cell r="A564">
            <v>5172</v>
          </cell>
          <cell r="B564" t="str">
            <v>Dani zajmovi županijskim proračunima</v>
          </cell>
          <cell r="C564" t="str">
            <v>5172</v>
          </cell>
          <cell r="D564">
            <v>0</v>
          </cell>
          <cell r="E564">
            <v>0</v>
          </cell>
        </row>
        <row r="565">
          <cell r="A565">
            <v>5173</v>
          </cell>
          <cell r="B565" t="str">
            <v>Dani zajmovi gradskim proračunima</v>
          </cell>
          <cell r="C565" t="str">
            <v>5173</v>
          </cell>
          <cell r="D565">
            <v>0</v>
          </cell>
          <cell r="E565">
            <v>0</v>
          </cell>
        </row>
        <row r="566">
          <cell r="A566">
            <v>5174</v>
          </cell>
          <cell r="B566" t="str">
            <v>Dani zajmovi općinskim proračunima</v>
          </cell>
          <cell r="C566" t="str">
            <v>5174</v>
          </cell>
          <cell r="D566">
            <v>0</v>
          </cell>
          <cell r="E566">
            <v>0</v>
          </cell>
        </row>
        <row r="567">
          <cell r="A567">
            <v>5175</v>
          </cell>
          <cell r="B567" t="str">
            <v>Dani zajmovi HZMO-u, HZZ-u i HZZO-u</v>
          </cell>
          <cell r="C567" t="str">
            <v>5175</v>
          </cell>
          <cell r="D567">
            <v>0</v>
          </cell>
          <cell r="E567">
            <v>0</v>
          </cell>
        </row>
        <row r="568">
          <cell r="A568">
            <v>5176</v>
          </cell>
          <cell r="B568" t="str">
            <v>Dani zajmovi ostalim izvanproračunskim korisnicima državnog proračuna</v>
          </cell>
          <cell r="C568" t="str">
            <v>5176</v>
          </cell>
          <cell r="D568">
            <v>0</v>
          </cell>
          <cell r="E568">
            <v>0</v>
          </cell>
        </row>
        <row r="569">
          <cell r="A569">
            <v>5177</v>
          </cell>
          <cell r="B569" t="str">
            <v>Dani zajmovi izvanproračunskim korisnicima JLP(R)S</v>
          </cell>
          <cell r="C569" t="str">
            <v>5177</v>
          </cell>
          <cell r="D569">
            <v>0</v>
          </cell>
          <cell r="E569">
            <v>0</v>
          </cell>
        </row>
        <row r="570">
          <cell r="A570" t="str">
            <v>518</v>
          </cell>
          <cell r="B570" t="str">
            <v>Izdaci za jamčevne pologe</v>
          </cell>
          <cell r="C570" t="str">
            <v>518</v>
          </cell>
          <cell r="D570">
            <v>0</v>
          </cell>
          <cell r="E570">
            <v>0</v>
          </cell>
        </row>
        <row r="571">
          <cell r="A571">
            <v>52</v>
          </cell>
          <cell r="B571" t="str">
            <v>Izdaci za ulaganja u financijske instrumente - vrijednosne papire (šifre 521+522+523+524)</v>
          </cell>
          <cell r="C571" t="str">
            <v>52</v>
          </cell>
          <cell r="D571">
            <v>0</v>
          </cell>
          <cell r="E571">
            <v>0</v>
          </cell>
        </row>
        <row r="572">
          <cell r="A572">
            <v>521</v>
          </cell>
          <cell r="B572" t="str">
            <v>Izdaci za komercijalne i blagajničke zapise (šifre 5211+5212)</v>
          </cell>
          <cell r="C572" t="str">
            <v>521</v>
          </cell>
          <cell r="D572">
            <v>0</v>
          </cell>
          <cell r="E572">
            <v>0</v>
          </cell>
        </row>
        <row r="573">
          <cell r="A573">
            <v>5211</v>
          </cell>
          <cell r="B573" t="str">
            <v xml:space="preserve">Komercijalni i blagajnički zapisi - tuzemni </v>
          </cell>
          <cell r="C573" t="str">
            <v>5211</v>
          </cell>
          <cell r="D573">
            <v>0</v>
          </cell>
          <cell r="E573">
            <v>0</v>
          </cell>
        </row>
        <row r="574">
          <cell r="A574">
            <v>5212</v>
          </cell>
          <cell r="B574" t="str">
            <v>Komercijalni i blagajnički zapisi - inozemni</v>
          </cell>
          <cell r="C574" t="str">
            <v>5212</v>
          </cell>
          <cell r="D574">
            <v>0</v>
          </cell>
          <cell r="E574">
            <v>0</v>
          </cell>
        </row>
        <row r="575">
          <cell r="A575">
            <v>522</v>
          </cell>
          <cell r="B575" t="str">
            <v>Izdaci za obveznice (šifre 5221+5222)</v>
          </cell>
          <cell r="C575" t="str">
            <v>522</v>
          </cell>
          <cell r="D575">
            <v>0</v>
          </cell>
          <cell r="E575">
            <v>0</v>
          </cell>
        </row>
        <row r="576">
          <cell r="A576">
            <v>5221</v>
          </cell>
          <cell r="B576" t="str">
            <v>Obveznice - tuzemne</v>
          </cell>
          <cell r="C576" t="str">
            <v>5221</v>
          </cell>
          <cell r="D576">
            <v>0</v>
          </cell>
          <cell r="E576">
            <v>0</v>
          </cell>
        </row>
        <row r="577">
          <cell r="A577">
            <v>5222</v>
          </cell>
          <cell r="B577" t="str">
            <v>Obveznice - inozemne</v>
          </cell>
          <cell r="C577" t="str">
            <v>5222</v>
          </cell>
          <cell r="D577">
            <v>0</v>
          </cell>
          <cell r="E577">
            <v>0</v>
          </cell>
        </row>
        <row r="578">
          <cell r="A578">
            <v>523</v>
          </cell>
          <cell r="B578" t="str">
            <v>Izdaci za opcije i druge financijske derivate (šifre 5231+5232)</v>
          </cell>
          <cell r="C578" t="str">
            <v>523</v>
          </cell>
          <cell r="D578">
            <v>0</v>
          </cell>
          <cell r="E578">
            <v>0</v>
          </cell>
        </row>
        <row r="579">
          <cell r="A579">
            <v>5231</v>
          </cell>
          <cell r="B579" t="str">
            <v>Opcije i drugi financijski derivati - tuzemni</v>
          </cell>
          <cell r="C579" t="str">
            <v>5231</v>
          </cell>
          <cell r="D579">
            <v>0</v>
          </cell>
          <cell r="E579">
            <v>0</v>
          </cell>
        </row>
        <row r="580">
          <cell r="A580">
            <v>5232</v>
          </cell>
          <cell r="B580" t="str">
            <v>Opcije i drugi financijski derivati - inozemni</v>
          </cell>
          <cell r="C580" t="str">
            <v>5232</v>
          </cell>
          <cell r="D580">
            <v>0</v>
          </cell>
          <cell r="E580">
            <v>0</v>
          </cell>
        </row>
        <row r="581">
          <cell r="A581">
            <v>524</v>
          </cell>
          <cell r="B581" t="str">
            <v>Izdaci za ostale vrijednosne papire (šifre 5241+5242)</v>
          </cell>
          <cell r="C581" t="str">
            <v>524</v>
          </cell>
          <cell r="D581">
            <v>0</v>
          </cell>
          <cell r="E581">
            <v>0</v>
          </cell>
        </row>
        <row r="582">
          <cell r="A582">
            <v>5241</v>
          </cell>
          <cell r="B582" t="str">
            <v xml:space="preserve">Ostali tuzemni vrijednosni papiri </v>
          </cell>
          <cell r="C582" t="str">
            <v>5241</v>
          </cell>
          <cell r="D582">
            <v>0</v>
          </cell>
          <cell r="E582">
            <v>0</v>
          </cell>
        </row>
        <row r="583">
          <cell r="A583">
            <v>5242</v>
          </cell>
          <cell r="B583" t="str">
            <v>Ostali inozemni vrijednosni papiri</v>
          </cell>
          <cell r="C583" t="str">
            <v>5242</v>
          </cell>
          <cell r="D583">
            <v>0</v>
          </cell>
          <cell r="E583">
            <v>0</v>
          </cell>
        </row>
        <row r="584">
          <cell r="A584">
            <v>53</v>
          </cell>
          <cell r="B584" t="str">
            <v>Izdaci za ulaganja u financijske instrumente - dionice i udjele u glavnici (šifre 531+532+533+534)</v>
          </cell>
          <cell r="C584" t="str">
            <v>53</v>
          </cell>
          <cell r="D584">
            <v>0</v>
          </cell>
          <cell r="E584">
            <v>0</v>
          </cell>
        </row>
        <row r="585">
          <cell r="A585">
            <v>531</v>
          </cell>
          <cell r="B585" t="str">
            <v>Izdaci za ulaganja u dionice i udjele u glavnici kreditnih i ostalih financijskih institucija u javnom sektoru (šifre 5312 do 5314)</v>
          </cell>
          <cell r="C585" t="str">
            <v>531</v>
          </cell>
          <cell r="D585">
            <v>0</v>
          </cell>
          <cell r="E585">
            <v>0</v>
          </cell>
        </row>
        <row r="586">
          <cell r="A586">
            <v>5312</v>
          </cell>
          <cell r="B586" t="str">
            <v>Dionice i udjeli u glavnici kreditnih institucija u javnom sektoru</v>
          </cell>
          <cell r="C586" t="str">
            <v>5312</v>
          </cell>
          <cell r="D586">
            <v>0</v>
          </cell>
          <cell r="E586">
            <v>0</v>
          </cell>
        </row>
        <row r="587">
          <cell r="A587">
            <v>5313</v>
          </cell>
          <cell r="B587" t="str">
            <v>Dionice i udjeli u glavnici osiguravajućih društava u javnom sektoru</v>
          </cell>
          <cell r="C587" t="str">
            <v>5313</v>
          </cell>
          <cell r="D587">
            <v>0</v>
          </cell>
          <cell r="E587">
            <v>0</v>
          </cell>
        </row>
        <row r="588">
          <cell r="A588">
            <v>5314</v>
          </cell>
          <cell r="B588" t="str">
            <v>Dionice i udjeli u glavnici ostalih financijskih institucija u javnom sektoru</v>
          </cell>
          <cell r="C588" t="str">
            <v>5314</v>
          </cell>
          <cell r="D588">
            <v>0</v>
          </cell>
          <cell r="E588">
            <v>0</v>
          </cell>
        </row>
        <row r="589">
          <cell r="A589">
            <v>532</v>
          </cell>
          <cell r="B589" t="str">
            <v>Izdaci za ulaganja u dionice i udjele u glavnici trgovačkih društava u javnom sektoru (šifra 5321)</v>
          </cell>
          <cell r="C589" t="str">
            <v>532</v>
          </cell>
          <cell r="D589">
            <v>0</v>
          </cell>
          <cell r="E589">
            <v>0</v>
          </cell>
        </row>
        <row r="590">
          <cell r="A590">
            <v>5321</v>
          </cell>
          <cell r="B590" t="str">
            <v>Dionice i udjeli u glavnici trgovačkih društava u javnom sektoru</v>
          </cell>
          <cell r="C590" t="str">
            <v>5321</v>
          </cell>
          <cell r="D590">
            <v>0</v>
          </cell>
          <cell r="E590">
            <v>0</v>
          </cell>
        </row>
        <row r="591">
          <cell r="A591">
            <v>533</v>
          </cell>
          <cell r="B591" t="str">
            <v>Izdaci za ulaganja u dionice i udjele u glavnici kreditnih i ostalih financijskih institucija izvan javnog sektora (šifre 5331+5332)</v>
          </cell>
          <cell r="C591" t="str">
            <v>533</v>
          </cell>
          <cell r="D591">
            <v>0</v>
          </cell>
          <cell r="E591">
            <v>0</v>
          </cell>
        </row>
        <row r="592">
          <cell r="A592">
            <v>5331</v>
          </cell>
          <cell r="B592" t="str">
            <v>Dionice i udjeli u glavnici tuzemnih kreditnih i ostalih financijskih institucija izvan javnog sektora</v>
          </cell>
          <cell r="C592" t="str">
            <v>5331</v>
          </cell>
          <cell r="D592">
            <v>0</v>
          </cell>
          <cell r="E592">
            <v>0</v>
          </cell>
        </row>
        <row r="593">
          <cell r="A593">
            <v>5332</v>
          </cell>
          <cell r="B593" t="str">
            <v>Dionice i udjeli u glavnici inozemnih kreditnih i ostalih financijskih institucija</v>
          </cell>
          <cell r="C593" t="str">
            <v>5332</v>
          </cell>
          <cell r="D593">
            <v>0</v>
          </cell>
          <cell r="E593">
            <v>0</v>
          </cell>
        </row>
        <row r="594">
          <cell r="A594">
            <v>534</v>
          </cell>
          <cell r="B594" t="str">
            <v>Izdaci za ulaganja u dionice i udjele u glavnici trgovačkih društava izvan javnog sektora (šifre 5341+5342)</v>
          </cell>
          <cell r="C594" t="str">
            <v>534</v>
          </cell>
          <cell r="D594">
            <v>0</v>
          </cell>
          <cell r="E594">
            <v>0</v>
          </cell>
        </row>
        <row r="595">
          <cell r="A595">
            <v>5341</v>
          </cell>
          <cell r="B595" t="str">
            <v>Dionice i udjeli u glavnici tuzemnih trgovačkih društava izvan javnog sektora</v>
          </cell>
          <cell r="C595" t="str">
            <v>5341</v>
          </cell>
          <cell r="D595">
            <v>0</v>
          </cell>
          <cell r="E595">
            <v>0</v>
          </cell>
        </row>
        <row r="596">
          <cell r="A596">
            <v>5342</v>
          </cell>
          <cell r="B596" t="str">
            <v>Dionice i udjeli u glavnici inozemnih trgovačkih društava</v>
          </cell>
          <cell r="C596" t="str">
            <v>5342</v>
          </cell>
          <cell r="D596">
            <v>0</v>
          </cell>
          <cell r="E596">
            <v>0</v>
          </cell>
        </row>
        <row r="597">
          <cell r="A597">
            <v>54</v>
          </cell>
          <cell r="B597" t="str">
            <v>Izdaci za otplatu glavnice primljenih kredita i zajmova (šifre 541+542+543+544+545+547)</v>
          </cell>
          <cell r="C597" t="str">
            <v>54</v>
          </cell>
          <cell r="D597">
            <v>0</v>
          </cell>
          <cell r="E597">
            <v>0</v>
          </cell>
        </row>
        <row r="598">
          <cell r="A598">
            <v>541</v>
          </cell>
          <cell r="B598" t="str">
            <v>Otplata glavnice primljenih kredita i zajmova od međunarodnih organizacija, institucija i tijela EU te inozemnih vlada (šifre 5413 do 5416)</v>
          </cell>
          <cell r="C598" t="str">
            <v>541</v>
          </cell>
          <cell r="D598">
            <v>0</v>
          </cell>
          <cell r="E598">
            <v>0</v>
          </cell>
        </row>
        <row r="599">
          <cell r="A599">
            <v>5413</v>
          </cell>
          <cell r="B599" t="str">
            <v>Otplata glavnice primljenih zajmova od međunarodnih organizacija</v>
          </cell>
          <cell r="C599" t="str">
            <v>5413</v>
          </cell>
          <cell r="D599">
            <v>0</v>
          </cell>
          <cell r="E599">
            <v>0</v>
          </cell>
        </row>
        <row r="600">
          <cell r="A600">
            <v>5414</v>
          </cell>
          <cell r="B600" t="str">
            <v>Otplata glavnice primljenih kredita i zajmova od institucija i tijela EU</v>
          </cell>
          <cell r="C600" t="str">
            <v>5414</v>
          </cell>
          <cell r="D600">
            <v>0</v>
          </cell>
          <cell r="E600">
            <v>0</v>
          </cell>
        </row>
        <row r="601">
          <cell r="A601">
            <v>5415</v>
          </cell>
          <cell r="B601" t="str">
            <v>Otplata glavnice primljenih zajmova od inozemnih vlada u EU</v>
          </cell>
          <cell r="C601" t="str">
            <v>5415</v>
          </cell>
          <cell r="D601">
            <v>0</v>
          </cell>
          <cell r="E601">
            <v>0</v>
          </cell>
        </row>
        <row r="602">
          <cell r="A602">
            <v>5416</v>
          </cell>
          <cell r="B602" t="str">
            <v>Otplata glavnice primljenih zajmova od inozemnih vlada izvan EU</v>
          </cell>
          <cell r="C602" t="str">
            <v>5416</v>
          </cell>
          <cell r="D602">
            <v>0</v>
          </cell>
          <cell r="E602">
            <v>0</v>
          </cell>
        </row>
        <row r="603">
          <cell r="A603">
            <v>542</v>
          </cell>
          <cell r="B603" t="str">
            <v>Otplata glavnice primljenih kredita i zajmova od kreditnih i ostalih financijskih institucija u javnom sektoru (šifre 5422 do 5424)</v>
          </cell>
          <cell r="C603" t="str">
            <v>542</v>
          </cell>
          <cell r="D603">
            <v>0</v>
          </cell>
          <cell r="E603">
            <v>0</v>
          </cell>
        </row>
        <row r="604">
          <cell r="A604">
            <v>5422</v>
          </cell>
          <cell r="B604" t="str">
            <v>Otplata glavnice primljenih kredita od kreditnih institucija u javnom sektoru</v>
          </cell>
          <cell r="C604" t="str">
            <v>5422</v>
          </cell>
          <cell r="D604">
            <v>0</v>
          </cell>
          <cell r="E604">
            <v>0</v>
          </cell>
        </row>
        <row r="605">
          <cell r="A605">
            <v>5423</v>
          </cell>
          <cell r="B605" t="str">
            <v>Otplata glavnice primljenih zajmova od osiguravajućih društava u javnom sektoru</v>
          </cell>
          <cell r="C605" t="str">
            <v>5423</v>
          </cell>
          <cell r="D605">
            <v>0</v>
          </cell>
          <cell r="E605">
            <v>0</v>
          </cell>
        </row>
        <row r="606">
          <cell r="A606">
            <v>5424</v>
          </cell>
          <cell r="B606" t="str">
            <v>Otplata glavnice primljenih zajmova od ostalih financijskih institucija u javnom sektoru</v>
          </cell>
          <cell r="C606" t="str">
            <v>5424</v>
          </cell>
          <cell r="D606">
            <v>0</v>
          </cell>
          <cell r="E606">
            <v>0</v>
          </cell>
        </row>
        <row r="607">
          <cell r="A607">
            <v>543</v>
          </cell>
          <cell r="B607" t="str">
            <v>Otplata glavnice primljenih zajmova od trgovačkih društava u javnom sektoru (šifra 5431)</v>
          </cell>
          <cell r="C607" t="str">
            <v>543</v>
          </cell>
          <cell r="D607">
            <v>0</v>
          </cell>
          <cell r="E607">
            <v>0</v>
          </cell>
        </row>
        <row r="608">
          <cell r="A608">
            <v>5431</v>
          </cell>
          <cell r="B608" t="str">
            <v>Otplata glavnice primljenih zajmova od trgovačkih društava u javnom sektoru</v>
          </cell>
          <cell r="C608" t="str">
            <v>5431</v>
          </cell>
          <cell r="D608">
            <v>0</v>
          </cell>
          <cell r="E608">
            <v>0</v>
          </cell>
        </row>
        <row r="609">
          <cell r="A609">
            <v>544</v>
          </cell>
          <cell r="B609" t="str">
            <v>Otplata glavnice primljenih kredita i zajmova od kreditnih i ostalih financijskih institucija izvan javnog sektora (šifre 5443 do 5448)</v>
          </cell>
          <cell r="C609" t="str">
            <v>544</v>
          </cell>
          <cell r="D609">
            <v>0</v>
          </cell>
          <cell r="E609">
            <v>0</v>
          </cell>
        </row>
        <row r="610">
          <cell r="A610">
            <v>5443</v>
          </cell>
          <cell r="B610" t="str">
            <v>Otplata glavnice primljenih kredita od tuzemnih kreditnih institucija izvan javnog sektora</v>
          </cell>
          <cell r="C610" t="str">
            <v>5443</v>
          </cell>
          <cell r="D610">
            <v>0</v>
          </cell>
          <cell r="E610">
            <v>0</v>
          </cell>
        </row>
        <row r="611">
          <cell r="A611">
            <v>5444</v>
          </cell>
          <cell r="B611" t="str">
            <v>Otplata glavnice primljenih zajmova od tuzemnih osiguravajućih društava izvan javnog sektora</v>
          </cell>
          <cell r="C611" t="str">
            <v>5444</v>
          </cell>
          <cell r="D611">
            <v>0</v>
          </cell>
          <cell r="E611">
            <v>0</v>
          </cell>
        </row>
        <row r="612">
          <cell r="A612">
            <v>5445</v>
          </cell>
          <cell r="B612" t="str">
            <v>Otplata glavnice primljenih zajmova od ostalih tuzemnih financijskih institucija izvan javnog sektora</v>
          </cell>
          <cell r="C612" t="str">
            <v>5445</v>
          </cell>
          <cell r="D612">
            <v>0</v>
          </cell>
          <cell r="E612">
            <v>0</v>
          </cell>
        </row>
        <row r="613">
          <cell r="A613">
            <v>5446</v>
          </cell>
          <cell r="B613" t="str">
            <v>Otplata glavnice primljenih kredita od inozemnih kreditnih institucija</v>
          </cell>
          <cell r="C613" t="str">
            <v>5446</v>
          </cell>
          <cell r="D613">
            <v>0</v>
          </cell>
          <cell r="E613">
            <v>0</v>
          </cell>
        </row>
        <row r="614">
          <cell r="A614">
            <v>5447</v>
          </cell>
          <cell r="B614" t="str">
            <v>Otplata glavnice primljenih zajmova od inozemnih osiguravajućih društava</v>
          </cell>
          <cell r="C614" t="str">
            <v>5447</v>
          </cell>
          <cell r="D614">
            <v>0</v>
          </cell>
          <cell r="E614">
            <v>0</v>
          </cell>
        </row>
        <row r="615">
          <cell r="A615">
            <v>5448</v>
          </cell>
          <cell r="B615" t="str">
            <v>Otplata glavnice primljenih zajmova od ostalih inozemnih financijskih institucija</v>
          </cell>
          <cell r="C615" t="str">
            <v>5448</v>
          </cell>
          <cell r="D615">
            <v>0</v>
          </cell>
          <cell r="E615">
            <v>0</v>
          </cell>
        </row>
        <row r="616">
          <cell r="A616">
            <v>545</v>
          </cell>
          <cell r="B616" t="str">
            <v>Otplata glavnice primljenih zajmova od trgovačkih društava i obrtnika izvan javnog sektora (šifre 5453 do 5456)</v>
          </cell>
          <cell r="C616" t="str">
            <v>545</v>
          </cell>
          <cell r="D616">
            <v>0</v>
          </cell>
          <cell r="E616">
            <v>0</v>
          </cell>
        </row>
        <row r="617">
          <cell r="A617">
            <v>5453</v>
          </cell>
          <cell r="B617" t="str">
            <v>Otplata glavnice primljenih zajmova od tuzemnih trgovačkih društava izvan javnog sektora</v>
          </cell>
          <cell r="C617" t="str">
            <v>5453</v>
          </cell>
          <cell r="D617">
            <v>0</v>
          </cell>
          <cell r="E617">
            <v>0</v>
          </cell>
        </row>
        <row r="618">
          <cell r="A618">
            <v>5454</v>
          </cell>
          <cell r="B618" t="str">
            <v>Otplata glavnice primljenih zajmova od tuzemnih obrtnika</v>
          </cell>
          <cell r="C618" t="str">
            <v>5454</v>
          </cell>
          <cell r="D618">
            <v>0</v>
          </cell>
          <cell r="E618">
            <v>0</v>
          </cell>
        </row>
        <row r="619">
          <cell r="A619">
            <v>5455</v>
          </cell>
          <cell r="B619" t="str">
            <v>Otplata glavnice primljenih zajmova od inozemnih trgovačkih društava</v>
          </cell>
          <cell r="C619" t="str">
            <v>5455</v>
          </cell>
          <cell r="D619">
            <v>0</v>
          </cell>
          <cell r="E619">
            <v>0</v>
          </cell>
        </row>
        <row r="620">
          <cell r="A620">
            <v>5456</v>
          </cell>
          <cell r="B620" t="str">
            <v>Otplata glavnice primljenih zajmova od inozemnih obrtnika</v>
          </cell>
          <cell r="C620" t="str">
            <v>5456</v>
          </cell>
          <cell r="D620">
            <v>0</v>
          </cell>
          <cell r="E620">
            <v>0</v>
          </cell>
        </row>
        <row r="621">
          <cell r="A621">
            <v>547</v>
          </cell>
          <cell r="B621" t="str">
            <v>Otplata glavnice primljenih zajmova od drugih razina vlasti (šifre 5471 do 5477)</v>
          </cell>
          <cell r="C621" t="str">
            <v>547</v>
          </cell>
          <cell r="D621">
            <v>0</v>
          </cell>
          <cell r="E621">
            <v>0</v>
          </cell>
        </row>
        <row r="622">
          <cell r="A622">
            <v>5471</v>
          </cell>
          <cell r="B622" t="str">
            <v>Otplata glavnice primljenih zajmova od državnog proračuna</v>
          </cell>
          <cell r="C622" t="str">
            <v>5471</v>
          </cell>
          <cell r="D622">
            <v>0</v>
          </cell>
          <cell r="E622">
            <v>0</v>
          </cell>
        </row>
        <row r="623">
          <cell r="A623">
            <v>5472</v>
          </cell>
          <cell r="B623" t="str">
            <v>Otplata glavnice primljenih zajmova od županijskih proračuna</v>
          </cell>
          <cell r="C623" t="str">
            <v>5472</v>
          </cell>
          <cell r="D623">
            <v>0</v>
          </cell>
          <cell r="E623">
            <v>0</v>
          </cell>
        </row>
        <row r="624">
          <cell r="A624">
            <v>5473</v>
          </cell>
          <cell r="B624" t="str">
            <v>Otplata glavnice primljenih zajmova od gradskih proračuna</v>
          </cell>
          <cell r="C624" t="str">
            <v>5473</v>
          </cell>
          <cell r="D624">
            <v>0</v>
          </cell>
          <cell r="E624">
            <v>0</v>
          </cell>
        </row>
        <row r="625">
          <cell r="A625">
            <v>5474</v>
          </cell>
          <cell r="B625" t="str">
            <v>Otplata glavnice primljenih zajmova od općinskih proračuna</v>
          </cell>
          <cell r="C625" t="str">
            <v>5474</v>
          </cell>
          <cell r="D625">
            <v>0</v>
          </cell>
          <cell r="E625">
            <v>0</v>
          </cell>
        </row>
        <row r="626">
          <cell r="A626">
            <v>5475</v>
          </cell>
          <cell r="B626" t="str">
            <v>Otplata glavnice primljenih zajmova od HZMO-a, HZZ-a i HZZO-a</v>
          </cell>
          <cell r="C626" t="str">
            <v>5475</v>
          </cell>
          <cell r="D626">
            <v>0</v>
          </cell>
          <cell r="E626">
            <v>0</v>
          </cell>
        </row>
        <row r="627">
          <cell r="A627">
            <v>5476</v>
          </cell>
          <cell r="B627" t="str">
            <v>Otplata glavnice primljenih zajmova od ostalih izvanproračunskih korisnika državnog proračuna</v>
          </cell>
          <cell r="C627" t="str">
            <v>5476</v>
          </cell>
          <cell r="D627">
            <v>0</v>
          </cell>
          <cell r="E627">
            <v>0</v>
          </cell>
        </row>
        <row r="628">
          <cell r="A628">
            <v>5477</v>
          </cell>
          <cell r="B628" t="str">
            <v>Otplata glavnice primljenih zajmova od izvanproračunskih korisnika JLP(R)S</v>
          </cell>
          <cell r="C628" t="str">
            <v>5477</v>
          </cell>
          <cell r="D628">
            <v>0</v>
          </cell>
          <cell r="E628">
            <v>0</v>
          </cell>
        </row>
        <row r="629">
          <cell r="A629">
            <v>55</v>
          </cell>
          <cell r="B629" t="str">
            <v>Izdaci za otplatu glavnice za izdane financijske instrumente - vrijednosne papire (šifre 551+552+553)</v>
          </cell>
          <cell r="C629" t="str">
            <v>55</v>
          </cell>
          <cell r="D629">
            <v>0</v>
          </cell>
          <cell r="E629">
            <v>0</v>
          </cell>
        </row>
        <row r="630">
          <cell r="A630">
            <v>551</v>
          </cell>
          <cell r="B630" t="str">
            <v>Izdaci za otplatu glavnice za izdane trezorske zapise (šifre 5511+5512)</v>
          </cell>
          <cell r="C630" t="str">
            <v>551</v>
          </cell>
          <cell r="D630">
            <v>0</v>
          </cell>
          <cell r="E630">
            <v>0</v>
          </cell>
        </row>
        <row r="631">
          <cell r="A631">
            <v>5511</v>
          </cell>
          <cell r="B631" t="str">
            <v>Izdaci za otplatu glavnice za izdane trezorske zapise u zemlji</v>
          </cell>
          <cell r="C631" t="str">
            <v>5511</v>
          </cell>
          <cell r="D631">
            <v>0</v>
          </cell>
          <cell r="E631">
            <v>0</v>
          </cell>
        </row>
        <row r="632">
          <cell r="A632">
            <v>5512</v>
          </cell>
          <cell r="B632" t="str">
            <v>Izdaci za otplatu glavnice za izdane trezorske zapise u inozemstvu</v>
          </cell>
          <cell r="C632" t="str">
            <v>5512</v>
          </cell>
          <cell r="D632">
            <v>0</v>
          </cell>
          <cell r="E632">
            <v>0</v>
          </cell>
        </row>
        <row r="633">
          <cell r="A633">
            <v>552</v>
          </cell>
          <cell r="B633" t="str">
            <v>Izdaci za otplatu glavnice za izdane obveznice (šifre 5521+5522)</v>
          </cell>
          <cell r="C633" t="str">
            <v>552</v>
          </cell>
          <cell r="D633">
            <v>0</v>
          </cell>
          <cell r="E633">
            <v>0</v>
          </cell>
        </row>
        <row r="634">
          <cell r="A634">
            <v>5521</v>
          </cell>
          <cell r="B634" t="str">
            <v>Izdaci za otplatu glavnice za izdane obveznice u zemlji</v>
          </cell>
          <cell r="C634" t="str">
            <v>5521</v>
          </cell>
          <cell r="D634">
            <v>0</v>
          </cell>
          <cell r="E634">
            <v>0</v>
          </cell>
        </row>
        <row r="635">
          <cell r="A635">
            <v>5522</v>
          </cell>
          <cell r="B635" t="str">
            <v>Izdaci za otplatu glavnice za izdane obveznice u inozemstvu</v>
          </cell>
          <cell r="C635" t="str">
            <v>5522</v>
          </cell>
          <cell r="D635">
            <v>0</v>
          </cell>
          <cell r="E635">
            <v>0</v>
          </cell>
        </row>
        <row r="636">
          <cell r="A636">
            <v>553</v>
          </cell>
          <cell r="B636" t="str">
            <v>Izdaci za otplatu glavnice za izdane ostale vrijednosne papire (šifre 5531+5532)</v>
          </cell>
          <cell r="C636" t="str">
            <v>553</v>
          </cell>
          <cell r="D636">
            <v>0</v>
          </cell>
          <cell r="E636">
            <v>0</v>
          </cell>
        </row>
        <row r="637">
          <cell r="A637">
            <v>5531</v>
          </cell>
          <cell r="B637" t="str">
            <v>Izdaci za otplatu glavnice za izdane ostale vrijednosne papire u zemlji</v>
          </cell>
          <cell r="C637" t="str">
            <v>5531</v>
          </cell>
          <cell r="D637">
            <v>0</v>
          </cell>
          <cell r="E637">
            <v>0</v>
          </cell>
        </row>
        <row r="638">
          <cell r="A638">
            <v>5532</v>
          </cell>
          <cell r="B638" t="str">
            <v>Izdaci za otplatu glavnice za izdane ostale vrijednosne papire u inozemstvu</v>
          </cell>
          <cell r="C638" t="str">
            <v>5532</v>
          </cell>
          <cell r="D638">
            <v>0</v>
          </cell>
          <cell r="E638">
            <v>0</v>
          </cell>
        </row>
        <row r="639">
          <cell r="A639" t="str">
            <v xml:space="preserve"> </v>
          </cell>
          <cell r="B639" t="str">
            <v>VIŠAK PRIMITAKA OD FINANCIJSKE IMOVINE I ZADUŽIVANJA (šifre 8-5)</v>
          </cell>
          <cell r="C639" t="str">
            <v>X003</v>
          </cell>
          <cell r="D639">
            <v>0</v>
          </cell>
          <cell r="E639">
            <v>0</v>
          </cell>
        </row>
        <row r="640">
          <cell r="A640" t="str">
            <v xml:space="preserve"> </v>
          </cell>
          <cell r="B640" t="str">
            <v>MANJAK PRIMITAKA OD FINANCIJSKE IMOVINE I ZADUŽIVANJA (šifre 5-8)</v>
          </cell>
          <cell r="C640" t="str">
            <v>Y003</v>
          </cell>
          <cell r="D640">
            <v>0</v>
          </cell>
          <cell r="E640">
            <v>0</v>
          </cell>
        </row>
        <row r="641">
          <cell r="A641">
            <v>92213</v>
          </cell>
          <cell r="B641" t="str">
            <v xml:space="preserve">Višak primitaka od financijske imovine - preneseni </v>
          </cell>
          <cell r="C641" t="str">
            <v>92213</v>
          </cell>
          <cell r="D641">
            <v>0</v>
          </cell>
          <cell r="E641">
            <v>0</v>
          </cell>
        </row>
        <row r="642">
          <cell r="A642">
            <v>92223</v>
          </cell>
          <cell r="B642" t="str">
            <v>Manjak primitaka od financijske imovine - preneseni</v>
          </cell>
          <cell r="C642" t="str">
            <v>92223</v>
          </cell>
          <cell r="D642">
            <v>0</v>
          </cell>
          <cell r="E642">
            <v>0</v>
          </cell>
        </row>
        <row r="643">
          <cell r="A643" t="str">
            <v xml:space="preserve"> </v>
          </cell>
          <cell r="B643" t="str">
            <v>UKUPNI PRIHODI I PRIMICI (šifre X067+8)</v>
          </cell>
          <cell r="C643" t="str">
            <v>X678</v>
          </cell>
          <cell r="D643">
            <v>18527517.870000001</v>
          </cell>
          <cell r="E643">
            <v>22821257.859999999</v>
          </cell>
        </row>
        <row r="644">
          <cell r="A644" t="str">
            <v xml:space="preserve"> </v>
          </cell>
          <cell r="B644" t="str">
            <v>UKUPNI RASHODI I IZDACI (šifre Y034+5)</v>
          </cell>
          <cell r="C644" t="str">
            <v>Y345</v>
          </cell>
          <cell r="D644">
            <v>18903824.530000001</v>
          </cell>
          <cell r="E644">
            <v>23268572.129999995</v>
          </cell>
        </row>
        <row r="645">
          <cell r="A645" t="str">
            <v xml:space="preserve"> </v>
          </cell>
          <cell r="B645" t="str">
            <v>VIŠAK PRIHODA I PRIMITAKA (šifre X678-Y345)</v>
          </cell>
          <cell r="C645" t="str">
            <v>X005</v>
          </cell>
          <cell r="D645">
            <v>0</v>
          </cell>
          <cell r="E645">
            <v>0</v>
          </cell>
        </row>
        <row r="646">
          <cell r="A646" t="str">
            <v xml:space="preserve"> </v>
          </cell>
          <cell r="B646" t="str">
            <v>MANJAK PRIHODA I PRIMITAKA (šifre Y345-X678)</v>
          </cell>
          <cell r="C646" t="str">
            <v>Y005</v>
          </cell>
          <cell r="D646">
            <v>376306.66000000015</v>
          </cell>
          <cell r="E646">
            <v>447314.26999999583</v>
          </cell>
        </row>
        <row r="647">
          <cell r="A647" t="str">
            <v>9221-9222</v>
          </cell>
          <cell r="B647" t="str">
            <v>Višak prihoda i primitaka - preneseni (šifre '9221x,9222x VP' - '9221x,9222x MP' + 92213 - 92223)</v>
          </cell>
          <cell r="C647" t="str">
            <v>9221-9222</v>
          </cell>
          <cell r="D647">
            <v>0</v>
          </cell>
          <cell r="E647">
            <v>0</v>
          </cell>
        </row>
        <row r="648">
          <cell r="A648" t="str">
            <v>9222-9221</v>
          </cell>
          <cell r="B648" t="str">
            <v>Manjak prihoda i primitaka - preneseni (šifre '9221x,9222x MP' - '9221x,9222x VP' + 92223 - 92213)</v>
          </cell>
          <cell r="C648" t="str">
            <v>9222-9221</v>
          </cell>
          <cell r="D648">
            <v>613431.75</v>
          </cell>
          <cell r="E648">
            <v>989738.41</v>
          </cell>
        </row>
        <row r="649">
          <cell r="A649" t="str">
            <v xml:space="preserve"> </v>
          </cell>
          <cell r="B649" t="str">
            <v>Višak prihoda i primitaka raspoloživ u sljedećem razdoblju (šifre X005 + '9221-9222' - Y005 - '9222-9221')</v>
          </cell>
          <cell r="C649" t="str">
            <v>X006</v>
          </cell>
          <cell r="D649">
            <v>0</v>
          </cell>
          <cell r="E649">
            <v>0</v>
          </cell>
        </row>
        <row r="650">
          <cell r="A650" t="str">
            <v xml:space="preserve"> </v>
          </cell>
          <cell r="B650" t="str">
            <v>Manjak prihoda i primitaka za pokriće u sljedećem razdoblju (šifre Y005 + '9222-9221' - X005 - '9221-9222' )</v>
          </cell>
          <cell r="C650" t="str">
            <v>Y006</v>
          </cell>
          <cell r="D650">
            <v>989738.41000000015</v>
          </cell>
          <cell r="E650">
            <v>1437052.679999996</v>
          </cell>
        </row>
        <row r="651">
          <cell r="A651" t="str">
            <v>19</v>
          </cell>
          <cell r="B651" t="str">
            <v>Rashodi budućih razdoblja i nedospjela naplata prihoda (aktivna vremenska razgraničenja)</v>
          </cell>
          <cell r="C651" t="str">
            <v>19</v>
          </cell>
          <cell r="D651">
            <v>0</v>
          </cell>
          <cell r="E651">
            <v>0</v>
          </cell>
        </row>
        <row r="652">
          <cell r="A652" t="str">
            <v>Obvezni analitički podaci</v>
          </cell>
          <cell r="B652"/>
          <cell r="C652"/>
          <cell r="D652"/>
          <cell r="E652"/>
        </row>
        <row r="653">
          <cell r="A653">
            <v>11</v>
          </cell>
          <cell r="B653" t="str">
            <v>Stanje novčanih sredstava na početku izvještajnog razdoblja</v>
          </cell>
          <cell r="C653" t="str">
            <v>11P</v>
          </cell>
          <cell r="D653">
            <v>719245.28</v>
          </cell>
          <cell r="E653">
            <v>459485.57</v>
          </cell>
        </row>
        <row r="654">
          <cell r="A654" t="str">
            <v>11-dugov.</v>
          </cell>
          <cell r="B654" t="str">
            <v>Ukupni priljevi na novčane račune i blagajne</v>
          </cell>
          <cell r="C654" t="str">
            <v>11-dugov.</v>
          </cell>
          <cell r="D654">
            <v>20193481.100000001</v>
          </cell>
          <cell r="E654">
            <v>26058159.989999998</v>
          </cell>
        </row>
        <row r="655">
          <cell r="A655" t="str">
            <v>11-potraž.</v>
          </cell>
          <cell r="B655" t="str">
            <v>Ukupni odljevi s novčanih računa i blagajni</v>
          </cell>
          <cell r="C655" t="str">
            <v>11-potraž.</v>
          </cell>
          <cell r="D655">
            <v>20453240.809999999</v>
          </cell>
          <cell r="E655">
            <v>26023499.370000001</v>
          </cell>
        </row>
        <row r="656">
          <cell r="A656">
            <v>11</v>
          </cell>
          <cell r="B656" t="str">
            <v>Stanje novčanih sredstava na kraju izvještajnog razdoblja (šifre 11P + '11-dugov.' - '11-potraž.')</v>
          </cell>
          <cell r="C656" t="str">
            <v>11K</v>
          </cell>
          <cell r="D656">
            <v>459485.57000000402</v>
          </cell>
          <cell r="E656">
            <v>494146.18999999762</v>
          </cell>
        </row>
        <row r="657">
          <cell r="A657" t="str">
            <v xml:space="preserve"> </v>
          </cell>
          <cell r="B657" t="str">
            <v>Prosječan broj zaposlenih u tijelima na osnovi stanja na početku i na kraju izvještajnog razdoblja (cijeli broj)</v>
          </cell>
          <cell r="C657" t="str">
            <v>Z006</v>
          </cell>
          <cell r="D657">
            <v>0</v>
          </cell>
          <cell r="E657">
            <v>0</v>
          </cell>
        </row>
        <row r="658">
          <cell r="A658" t="str">
            <v xml:space="preserve"> </v>
          </cell>
          <cell r="B658" t="str">
            <v>Prosječan broj zaposlenih kod korisnika na osnovi stanja na početku i na kraju izvještajnog razdoblja (cijeli broj)</v>
          </cell>
          <cell r="C658" t="str">
            <v>Z007</v>
          </cell>
          <cell r="D658">
            <v>553</v>
          </cell>
          <cell r="E658">
            <v>561</v>
          </cell>
        </row>
        <row r="659">
          <cell r="A659" t="str">
            <v xml:space="preserve"> </v>
          </cell>
          <cell r="B659" t="str">
            <v>Prosječan broj zaposlenih u tijelima na osnovi sati rada (cijeli broj)</v>
          </cell>
          <cell r="C659" t="str">
            <v>Z008</v>
          </cell>
          <cell r="D659">
            <v>0</v>
          </cell>
          <cell r="E659">
            <v>0</v>
          </cell>
        </row>
        <row r="660">
          <cell r="A660" t="str">
            <v xml:space="preserve"> </v>
          </cell>
          <cell r="B660" t="str">
            <v>Prosječan broj zaposlenih kod korisnika na osnovi sati rada (cijeli broj)</v>
          </cell>
          <cell r="C660" t="str">
            <v>Z009</v>
          </cell>
          <cell r="D660">
            <v>515</v>
          </cell>
          <cell r="E660">
            <v>566</v>
          </cell>
        </row>
        <row r="661">
          <cell r="A661" t="str">
            <v>dio 611</v>
          </cell>
          <cell r="B661" t="str">
            <v>Ostvareni prihodi iz dodatnog udjela poreza na dohodak za decentralizirane funkcije</v>
          </cell>
          <cell r="C661" t="str">
            <v>dio611</v>
          </cell>
          <cell r="D661">
            <v>0</v>
          </cell>
          <cell r="E661">
            <v>0</v>
          </cell>
        </row>
        <row r="662">
          <cell r="A662">
            <v>61315</v>
          </cell>
          <cell r="B662" t="str">
            <v>Porez na korištenje javnih površina</v>
          </cell>
          <cell r="C662" t="str">
            <v>61315</v>
          </cell>
          <cell r="D662">
            <v>0</v>
          </cell>
          <cell r="E662">
            <v>0</v>
          </cell>
        </row>
        <row r="663">
          <cell r="A663">
            <v>61316</v>
          </cell>
          <cell r="B663" t="str">
            <v>Porez na nekretnine</v>
          </cell>
          <cell r="C663" t="str">
            <v>61316</v>
          </cell>
          <cell r="D663">
            <v>0</v>
          </cell>
          <cell r="E663">
            <v>0</v>
          </cell>
        </row>
        <row r="664">
          <cell r="A664" t="str">
            <v>61341</v>
          </cell>
          <cell r="B664" t="str">
            <v>Porez na promet nekretnina</v>
          </cell>
          <cell r="C664" t="str">
            <v>61341</v>
          </cell>
          <cell r="D664">
            <v>0</v>
          </cell>
          <cell r="E664">
            <v>0</v>
          </cell>
        </row>
        <row r="665">
          <cell r="A665">
            <v>61451</v>
          </cell>
          <cell r="B665" t="str">
            <v>Porez na cestovna motorna vozila</v>
          </cell>
          <cell r="C665" t="str">
            <v>61451</v>
          </cell>
          <cell r="D665">
            <v>0</v>
          </cell>
          <cell r="E665">
            <v>0</v>
          </cell>
        </row>
        <row r="666">
          <cell r="A666" t="str">
            <v>61452</v>
          </cell>
          <cell r="B666" t="str">
            <v>Porez na plovne objekte</v>
          </cell>
          <cell r="C666" t="str">
            <v>61452</v>
          </cell>
          <cell r="D666">
            <v>0</v>
          </cell>
          <cell r="E666">
            <v>0</v>
          </cell>
        </row>
        <row r="667">
          <cell r="A667">
            <v>61453</v>
          </cell>
          <cell r="B667" t="str">
            <v>Porez na tvrtku odnosno naziv tvrtke</v>
          </cell>
          <cell r="C667" t="str">
            <v>61453</v>
          </cell>
          <cell r="D667">
            <v>0</v>
          </cell>
          <cell r="E667">
            <v>0</v>
          </cell>
        </row>
        <row r="668">
          <cell r="A668" t="str">
            <v>61459</v>
          </cell>
          <cell r="B668" t="str">
            <v>Ostali nespomenuti porezi na korištenje dobara ili izvođenje aktivnosti</v>
          </cell>
          <cell r="C668" t="str">
            <v>61459</v>
          </cell>
          <cell r="D668">
            <v>0</v>
          </cell>
          <cell r="E668">
            <v>0</v>
          </cell>
        </row>
        <row r="669">
          <cell r="A669">
            <v>63311</v>
          </cell>
          <cell r="B669" t="str">
            <v>Tekuće pomoći iz državnog proračuna</v>
          </cell>
          <cell r="C669" t="str">
            <v>63311</v>
          </cell>
          <cell r="D669">
            <v>0</v>
          </cell>
          <cell r="E669">
            <v>0</v>
          </cell>
        </row>
        <row r="670">
          <cell r="A670">
            <v>63312</v>
          </cell>
          <cell r="B670" t="str">
            <v>Tekuće pomoći iz županijskih proračuna</v>
          </cell>
          <cell r="C670" t="str">
            <v>63312</v>
          </cell>
          <cell r="D670">
            <v>0</v>
          </cell>
          <cell r="E670">
            <v>0</v>
          </cell>
        </row>
        <row r="671">
          <cell r="A671">
            <v>63313</v>
          </cell>
          <cell r="B671" t="str">
            <v>Tekuće pomoći iz gradskih proračuna</v>
          </cell>
          <cell r="C671" t="str">
            <v>63313</v>
          </cell>
          <cell r="D671">
            <v>0</v>
          </cell>
          <cell r="E671">
            <v>0</v>
          </cell>
        </row>
        <row r="672">
          <cell r="A672">
            <v>63314</v>
          </cell>
          <cell r="B672" t="str">
            <v>Tekuće pomoći iz općinskih proračuna</v>
          </cell>
          <cell r="C672" t="str">
            <v>63314</v>
          </cell>
          <cell r="D672">
            <v>0</v>
          </cell>
          <cell r="E672">
            <v>0</v>
          </cell>
        </row>
        <row r="673">
          <cell r="A673">
            <v>63321</v>
          </cell>
          <cell r="B673" t="str">
            <v>Kapitalne pomoći iz državnog proračuna</v>
          </cell>
          <cell r="C673" t="str">
            <v>63321</v>
          </cell>
          <cell r="D673">
            <v>0</v>
          </cell>
          <cell r="E673">
            <v>0</v>
          </cell>
        </row>
        <row r="674">
          <cell r="A674">
            <v>63322</v>
          </cell>
          <cell r="B674" t="str">
            <v>Kapitalne pomoći iz županijskih proračuna</v>
          </cell>
          <cell r="C674" t="str">
            <v>63322</v>
          </cell>
          <cell r="D674">
            <v>0</v>
          </cell>
          <cell r="E674">
            <v>0</v>
          </cell>
        </row>
        <row r="675">
          <cell r="A675">
            <v>63323</v>
          </cell>
          <cell r="B675" t="str">
            <v>Kapitalne pomoći iz gradskih proračuna</v>
          </cell>
          <cell r="C675" t="str">
            <v>63323</v>
          </cell>
          <cell r="D675">
            <v>0</v>
          </cell>
          <cell r="E675">
            <v>0</v>
          </cell>
        </row>
        <row r="676">
          <cell r="A676">
            <v>63324</v>
          </cell>
          <cell r="B676" t="str">
            <v>Kapitalne pomoći iz općinskih proračuna</v>
          </cell>
          <cell r="C676" t="str">
            <v>63324</v>
          </cell>
          <cell r="D676">
            <v>0</v>
          </cell>
          <cell r="E676">
            <v>0</v>
          </cell>
        </row>
        <row r="677">
          <cell r="A677">
            <v>63414</v>
          </cell>
          <cell r="B677" t="str">
            <v xml:space="preserve">Tekuće pomoći od HZMO-a, HZZ-a i HZZO-a </v>
          </cell>
          <cell r="C677" t="str">
            <v>63414</v>
          </cell>
          <cell r="D677">
            <v>0</v>
          </cell>
          <cell r="E677">
            <v>0</v>
          </cell>
        </row>
        <row r="678">
          <cell r="A678">
            <v>63415</v>
          </cell>
          <cell r="B678" t="str">
            <v>Tekuće pomoći od ostalih izvanproračunskih korisnika državnog proračuna</v>
          </cell>
          <cell r="C678" t="str">
            <v>63415</v>
          </cell>
          <cell r="D678">
            <v>0</v>
          </cell>
          <cell r="E678">
            <v>0</v>
          </cell>
        </row>
        <row r="679">
          <cell r="A679">
            <v>63416</v>
          </cell>
          <cell r="B679" t="str">
            <v>Tekuće pomoći od izvanproračunskih korisnika JLP(R)S</v>
          </cell>
          <cell r="C679" t="str">
            <v>63416</v>
          </cell>
          <cell r="D679">
            <v>0</v>
          </cell>
          <cell r="E679">
            <v>0</v>
          </cell>
        </row>
        <row r="680">
          <cell r="A680">
            <v>63424</v>
          </cell>
          <cell r="B680" t="str">
            <v xml:space="preserve">Kapitalne pomoći od HZMO-a, HZZ-a i HZZO-a </v>
          </cell>
          <cell r="C680" t="str">
            <v>63424</v>
          </cell>
          <cell r="D680">
            <v>0</v>
          </cell>
          <cell r="E680">
            <v>0</v>
          </cell>
        </row>
        <row r="681">
          <cell r="A681">
            <v>63425</v>
          </cell>
          <cell r="B681" t="str">
            <v>Kapitalne pomoći od ostalih izvanproračunskih korisnika državnog proračuna</v>
          </cell>
          <cell r="C681" t="str">
            <v>63425</v>
          </cell>
          <cell r="D681">
            <v>0</v>
          </cell>
          <cell r="E681">
            <v>0</v>
          </cell>
        </row>
        <row r="682">
          <cell r="A682">
            <v>63426</v>
          </cell>
          <cell r="B682" t="str">
            <v>Kapitalne pomoći od izvanproračunskih korisnika JLP(R)S</v>
          </cell>
          <cell r="C682" t="str">
            <v>63426</v>
          </cell>
          <cell r="D682">
            <v>0</v>
          </cell>
          <cell r="E682">
            <v>0</v>
          </cell>
        </row>
        <row r="683">
          <cell r="A683">
            <v>63612</v>
          </cell>
          <cell r="B683" t="str">
            <v>Tekuće pomoći iz državnog proračuna proračunskim korisnicima proračuna JLP(R)S</v>
          </cell>
          <cell r="C683" t="str">
            <v>63612</v>
          </cell>
          <cell r="D683">
            <v>213873.07</v>
          </cell>
          <cell r="E683">
            <v>242495.96</v>
          </cell>
        </row>
        <row r="684">
          <cell r="A684">
            <v>63613</v>
          </cell>
          <cell r="B684" t="str">
            <v>Tekuće pomoći proračunskim korisnicima iz proračuna JLP(R)S koji im nije nadležan</v>
          </cell>
          <cell r="C684" t="str">
            <v>63613</v>
          </cell>
          <cell r="D684">
            <v>516436.49</v>
          </cell>
          <cell r="E684">
            <v>665874.32999999996</v>
          </cell>
        </row>
        <row r="685">
          <cell r="A685">
            <v>63622</v>
          </cell>
          <cell r="B685" t="str">
            <v>Kapitalne pomoći iz državnog proračuna proračunskim korisnicima proračuna JLP(R)S</v>
          </cell>
          <cell r="C685" t="str">
            <v>63622</v>
          </cell>
          <cell r="D685">
            <v>525000</v>
          </cell>
          <cell r="E685">
            <v>662000</v>
          </cell>
        </row>
        <row r="686">
          <cell r="A686">
            <v>63623</v>
          </cell>
          <cell r="B686" t="str">
            <v>Kapitalne pomoći proračunskim korisnicima iz proračuna JLP(R)S koji im nije nadležan</v>
          </cell>
          <cell r="C686" t="str">
            <v>63623</v>
          </cell>
          <cell r="D686">
            <v>25686.51</v>
          </cell>
          <cell r="E686">
            <v>32772.949999999997</v>
          </cell>
        </row>
        <row r="687">
          <cell r="A687">
            <v>63711</v>
          </cell>
          <cell r="B687" t="str">
            <v>Pomoći iz državnog proračuna po protestiranim jamstvima</v>
          </cell>
          <cell r="C687">
            <v>63711</v>
          </cell>
          <cell r="D687">
            <v>0</v>
          </cell>
          <cell r="E687">
            <v>0</v>
          </cell>
        </row>
        <row r="688">
          <cell r="A688">
            <v>63712</v>
          </cell>
          <cell r="B688" t="str">
            <v>Pomoći iz županijskih proračuna po protestiranim jamstvima</v>
          </cell>
          <cell r="C688">
            <v>63712</v>
          </cell>
          <cell r="D688">
            <v>0</v>
          </cell>
          <cell r="E688">
            <v>0</v>
          </cell>
        </row>
        <row r="689">
          <cell r="A689">
            <v>63713</v>
          </cell>
          <cell r="B689" t="str">
            <v>Pomoći iz gradskih proračuna po protestiranim jamstvima</v>
          </cell>
          <cell r="C689">
            <v>63713</v>
          </cell>
          <cell r="D689">
            <v>0</v>
          </cell>
          <cell r="E689">
            <v>0</v>
          </cell>
        </row>
        <row r="690">
          <cell r="A690">
            <v>63714</v>
          </cell>
          <cell r="B690" t="str">
            <v>Pomoći iz općinskih proračuna po protestiranim jamstvima</v>
          </cell>
          <cell r="C690">
            <v>63714</v>
          </cell>
          <cell r="D690">
            <v>0</v>
          </cell>
          <cell r="E690">
            <v>0</v>
          </cell>
        </row>
        <row r="691">
          <cell r="A691">
            <v>63715</v>
          </cell>
          <cell r="B691" t="str">
            <v>Pomoći od HZMO-a, HZZ-a i HZZO-a po protestiranim jamstvima</v>
          </cell>
          <cell r="C691">
            <v>63715</v>
          </cell>
          <cell r="D691">
            <v>0</v>
          </cell>
          <cell r="E691">
            <v>0</v>
          </cell>
        </row>
        <row r="692">
          <cell r="A692">
            <v>63716</v>
          </cell>
          <cell r="B692" t="str">
            <v>Pomoći od ostalih izvanproračunskih korisnika državnog proračuna po protestiranim jamstvima</v>
          </cell>
          <cell r="C692">
            <v>63716</v>
          </cell>
          <cell r="D692">
            <v>0</v>
          </cell>
          <cell r="E692">
            <v>0</v>
          </cell>
        </row>
        <row r="693">
          <cell r="A693">
            <v>63717</v>
          </cell>
          <cell r="B693" t="str">
            <v>Pomoći od izvanproračunskih korisnika JLP(R)S po protestiranim jamstvima</v>
          </cell>
          <cell r="C693">
            <v>63717</v>
          </cell>
          <cell r="D693">
            <v>0</v>
          </cell>
          <cell r="E693">
            <v>0</v>
          </cell>
        </row>
        <row r="694">
          <cell r="A694">
            <v>63721</v>
          </cell>
          <cell r="B694" t="str">
            <v>Povrat pomoći danih proračunskim korisnicima državnog proračuna po protestiranim jamstvima</v>
          </cell>
          <cell r="C694">
            <v>63721</v>
          </cell>
          <cell r="D694">
            <v>0</v>
          </cell>
          <cell r="E694">
            <v>0</v>
          </cell>
        </row>
        <row r="695">
          <cell r="A695">
            <v>63722</v>
          </cell>
          <cell r="B695" t="str">
            <v>Povrat pomoći danih proračunskim korisnicima JLP(R)S po protestiranim jamstvima</v>
          </cell>
          <cell r="C695">
            <v>63722</v>
          </cell>
          <cell r="D695">
            <v>0</v>
          </cell>
          <cell r="E695">
            <v>0</v>
          </cell>
        </row>
        <row r="696">
          <cell r="A696">
            <v>63723</v>
          </cell>
          <cell r="B696" t="str">
            <v>Povrat pomoći danih županijskim proračunima po protestiranim jamstvima</v>
          </cell>
          <cell r="C696">
            <v>63723</v>
          </cell>
          <cell r="D696">
            <v>0</v>
          </cell>
          <cell r="E696">
            <v>0</v>
          </cell>
        </row>
        <row r="697">
          <cell r="A697">
            <v>63724</v>
          </cell>
          <cell r="B697" t="str">
            <v>Povrat pomoći danih gradskim proračunima po protestiranim jamstvima</v>
          </cell>
          <cell r="C697">
            <v>63724</v>
          </cell>
          <cell r="D697">
            <v>0</v>
          </cell>
          <cell r="E697">
            <v>0</v>
          </cell>
        </row>
        <row r="698">
          <cell r="A698">
            <v>63725</v>
          </cell>
          <cell r="B698" t="str">
            <v>Povrat pomoći danih općinskim proračunima po protestiranim jamstvima</v>
          </cell>
          <cell r="C698">
            <v>63725</v>
          </cell>
          <cell r="D698">
            <v>0</v>
          </cell>
          <cell r="E698">
            <v>0</v>
          </cell>
        </row>
        <row r="699">
          <cell r="A699">
            <v>63726</v>
          </cell>
          <cell r="B699" t="str">
            <v>Povrat pomoći danih HZMO-u, HZZ-u i HZZO-u po protestiranim jamstvima</v>
          </cell>
          <cell r="C699">
            <v>63726</v>
          </cell>
          <cell r="D699">
            <v>0</v>
          </cell>
          <cell r="E699">
            <v>0</v>
          </cell>
        </row>
        <row r="700">
          <cell r="A700">
            <v>63727</v>
          </cell>
          <cell r="B700" t="str">
            <v>Povrat pomoći danih ostalim izvanproračunskim korisnicima državnog proračuna po protestiranim jamstvima</v>
          </cell>
          <cell r="C700">
            <v>63727</v>
          </cell>
          <cell r="D700">
            <v>0</v>
          </cell>
          <cell r="E700">
            <v>0</v>
          </cell>
        </row>
        <row r="701">
          <cell r="A701">
            <v>63728</v>
          </cell>
          <cell r="B701" t="str">
            <v>Povrat pomoći danih izvanproračunskim korisnicima JLP(R)S po protestiranim jamstvima</v>
          </cell>
          <cell r="C701">
            <v>63728</v>
          </cell>
          <cell r="D701">
            <v>0</v>
          </cell>
          <cell r="E701">
            <v>0</v>
          </cell>
        </row>
        <row r="702">
          <cell r="A702">
            <v>63811</v>
          </cell>
          <cell r="B702" t="str">
            <v>Tekuće pomoći iz državnog proračuna temeljem prijenosa EU sredstava</v>
          </cell>
          <cell r="C702" t="str">
            <v>63811</v>
          </cell>
          <cell r="D702">
            <v>0</v>
          </cell>
          <cell r="E702">
            <v>0</v>
          </cell>
        </row>
        <row r="703">
          <cell r="A703">
            <v>63812</v>
          </cell>
          <cell r="B703" t="str">
            <v>Tekuće pomoći iz proračuna JLP(R)S temeljem prijenosa EU sredstava</v>
          </cell>
          <cell r="C703" t="str">
            <v>63812</v>
          </cell>
          <cell r="D703">
            <v>0</v>
          </cell>
          <cell r="E703">
            <v>0</v>
          </cell>
        </row>
        <row r="704">
          <cell r="A704" t="str">
            <v>63813</v>
          </cell>
          <cell r="B704" t="str">
            <v>Tekuće pomoći od proračunskog korisnika drugog proračuna temeljem prijenosa EU sredstava</v>
          </cell>
          <cell r="C704" t="str">
            <v>63813</v>
          </cell>
          <cell r="D704">
            <v>32739</v>
          </cell>
          <cell r="E704">
            <v>344.44</v>
          </cell>
        </row>
        <row r="705">
          <cell r="A705" t="str">
            <v>63814</v>
          </cell>
          <cell r="B705" t="str">
            <v>Tekuće pomoći od izvanproračunskog korisnika temeljem prijenosa EU sredstava</v>
          </cell>
          <cell r="C705" t="str">
            <v>63814</v>
          </cell>
          <cell r="D705">
            <v>0</v>
          </cell>
          <cell r="E705">
            <v>0</v>
          </cell>
        </row>
        <row r="706">
          <cell r="A706">
            <v>63821</v>
          </cell>
          <cell r="B706" t="str">
            <v>Kapitalne pomoći iz državnog proračuna temeljem prijenosa EU sredstava</v>
          </cell>
          <cell r="C706" t="str">
            <v>63821</v>
          </cell>
          <cell r="D706">
            <v>0</v>
          </cell>
          <cell r="E706">
            <v>0</v>
          </cell>
        </row>
        <row r="707">
          <cell r="A707">
            <v>63822</v>
          </cell>
          <cell r="B707" t="str">
            <v>Kapitalne pomoći iz proračuna JLP(R)S temeljem prijenosa EU sredstava</v>
          </cell>
          <cell r="C707" t="str">
            <v>63822</v>
          </cell>
          <cell r="D707">
            <v>0</v>
          </cell>
          <cell r="E707">
            <v>0</v>
          </cell>
        </row>
        <row r="708">
          <cell r="A708" t="str">
            <v>63823</v>
          </cell>
          <cell r="B708" t="str">
            <v>Kapitalne pomoći od proračunskog korisnika drugog proračuna temeljem prijenosa EU sredstava</v>
          </cell>
          <cell r="C708" t="str">
            <v>63823</v>
          </cell>
          <cell r="D708">
            <v>0</v>
          </cell>
          <cell r="E708">
            <v>0</v>
          </cell>
        </row>
        <row r="709">
          <cell r="A709" t="str">
            <v>63824</v>
          </cell>
          <cell r="B709" t="str">
            <v>Kapitalne pomoći od izvanproračunskog korisnika temeljem prijenosa EU sredstava</v>
          </cell>
          <cell r="C709" t="str">
            <v>63824</v>
          </cell>
          <cell r="D709">
            <v>0</v>
          </cell>
          <cell r="E709">
            <v>0</v>
          </cell>
        </row>
        <row r="710">
          <cell r="A710">
            <v>64191</v>
          </cell>
          <cell r="B710" t="str">
            <v>Premije na izdane vrijednosne papire</v>
          </cell>
          <cell r="C710" t="str">
            <v>64191</v>
          </cell>
          <cell r="D710">
            <v>0</v>
          </cell>
          <cell r="E710">
            <v>0</v>
          </cell>
        </row>
        <row r="711">
          <cell r="A711" t="str">
            <v>64222</v>
          </cell>
          <cell r="B711" t="str">
            <v>Prihodi od zakupa poljoprivrednog zemljišta</v>
          </cell>
          <cell r="C711" t="str">
            <v>64222</v>
          </cell>
          <cell r="D711">
            <v>0</v>
          </cell>
          <cell r="E711">
            <v>0</v>
          </cell>
        </row>
        <row r="712">
          <cell r="A712" t="str">
            <v>64236</v>
          </cell>
          <cell r="B712" t="str">
            <v>Spomenička renta</v>
          </cell>
          <cell r="C712" t="str">
            <v>64236</v>
          </cell>
          <cell r="D712">
            <v>0</v>
          </cell>
          <cell r="E712">
            <v>0</v>
          </cell>
        </row>
        <row r="713">
          <cell r="A713" t="str">
            <v>64241</v>
          </cell>
          <cell r="B713" t="str">
            <v>Godišnja naknada za upotrebu javnih cesta što se plaća pri registraciji motornih i priključnih vozila</v>
          </cell>
          <cell r="C713" t="str">
            <v>64241</v>
          </cell>
          <cell r="D713">
            <v>0</v>
          </cell>
          <cell r="E713">
            <v>0</v>
          </cell>
        </row>
        <row r="714">
          <cell r="A714" t="str">
            <v>64244</v>
          </cell>
          <cell r="B714" t="str">
            <v>Naknada za korištenje cestovnog zemljišta</v>
          </cell>
          <cell r="C714" t="str">
            <v>64244</v>
          </cell>
          <cell r="D714">
            <v>0</v>
          </cell>
          <cell r="E714">
            <v>0</v>
          </cell>
        </row>
        <row r="715">
          <cell r="A715">
            <v>64371</v>
          </cell>
          <cell r="B715" t="str">
            <v>Prihodi od kamata na dane zajmove državnom proračunu</v>
          </cell>
          <cell r="C715" t="str">
            <v>64371</v>
          </cell>
          <cell r="D715">
            <v>0</v>
          </cell>
          <cell r="E715">
            <v>0</v>
          </cell>
        </row>
        <row r="716">
          <cell r="A716">
            <v>64372</v>
          </cell>
          <cell r="B716" t="str">
            <v>Prihodi od kamata na dane zajmove županijskim proračunima</v>
          </cell>
          <cell r="C716" t="str">
            <v>64372</v>
          </cell>
          <cell r="D716">
            <v>0</v>
          </cell>
          <cell r="E716">
            <v>0</v>
          </cell>
        </row>
        <row r="717">
          <cell r="A717">
            <v>64373</v>
          </cell>
          <cell r="B717" t="str">
            <v>Prihodi od kamata na dane zajmove gradskim proračunima</v>
          </cell>
          <cell r="C717" t="str">
            <v>64373</v>
          </cell>
          <cell r="D717">
            <v>0</v>
          </cell>
          <cell r="E717">
            <v>0</v>
          </cell>
        </row>
        <row r="718">
          <cell r="A718">
            <v>64374</v>
          </cell>
          <cell r="B718" t="str">
            <v>Prihodi od kamata na dane zajmove općinskim proračunima</v>
          </cell>
          <cell r="C718" t="str">
            <v>64374</v>
          </cell>
          <cell r="D718">
            <v>0</v>
          </cell>
          <cell r="E718">
            <v>0</v>
          </cell>
        </row>
        <row r="719">
          <cell r="A719">
            <v>64375</v>
          </cell>
          <cell r="B719" t="str">
            <v>Prihodi od kamata na dane zajmove HZMO-u, HZZ-u i HZZO-u</v>
          </cell>
          <cell r="C719" t="str">
            <v>64375</v>
          </cell>
          <cell r="D719">
            <v>0</v>
          </cell>
          <cell r="E719">
            <v>0</v>
          </cell>
        </row>
        <row r="720">
          <cell r="A720">
            <v>64376</v>
          </cell>
          <cell r="B720" t="str">
            <v>Prihodi od kamata na dane zajmove ostalim izvanproračunskim korisnicima državnog proračuna</v>
          </cell>
          <cell r="C720" t="str">
            <v>64376</v>
          </cell>
          <cell r="D720">
            <v>0</v>
          </cell>
          <cell r="E720">
            <v>0</v>
          </cell>
        </row>
        <row r="721">
          <cell r="A721">
            <v>64377</v>
          </cell>
          <cell r="B721" t="str">
            <v>Prihodi od kamata na dane zajmove izvanproračunskim korisnicima JLP(R)S</v>
          </cell>
          <cell r="C721" t="str">
            <v>64377</v>
          </cell>
          <cell r="D721">
            <v>0</v>
          </cell>
          <cell r="E721">
            <v>0</v>
          </cell>
        </row>
        <row r="722">
          <cell r="A722" t="str">
            <v>65141</v>
          </cell>
          <cell r="B722" t="str">
            <v>Turistička pristojba</v>
          </cell>
          <cell r="C722" t="str">
            <v>65141</v>
          </cell>
          <cell r="D722">
            <v>0</v>
          </cell>
          <cell r="E722">
            <v>0</v>
          </cell>
        </row>
        <row r="723">
          <cell r="A723" t="str">
            <v>65263</v>
          </cell>
          <cell r="B723" t="str">
            <v>Premija za osiguranje od požara</v>
          </cell>
          <cell r="C723" t="str">
            <v>65263</v>
          </cell>
          <cell r="D723">
            <v>0</v>
          </cell>
          <cell r="E723">
            <v>0</v>
          </cell>
        </row>
        <row r="724">
          <cell r="A724">
            <v>65264</v>
          </cell>
          <cell r="B724" t="str">
            <v>Sufinanciranje cijene usluge, participacije i slično</v>
          </cell>
          <cell r="C724" t="str">
            <v>65264</v>
          </cell>
          <cell r="D724">
            <v>905993.32</v>
          </cell>
          <cell r="E724">
            <v>908559.15</v>
          </cell>
        </row>
        <row r="725">
          <cell r="A725">
            <v>65265</v>
          </cell>
          <cell r="B725" t="str">
            <v>Dopunsko zdravstveno osiguranje</v>
          </cell>
          <cell r="C725" t="str">
            <v>65265</v>
          </cell>
          <cell r="D725">
            <v>0</v>
          </cell>
          <cell r="E725">
            <v>0</v>
          </cell>
        </row>
        <row r="726">
          <cell r="A726" t="str">
            <v>65267</v>
          </cell>
          <cell r="B726" t="str">
            <v>Prihodi s naslova osiguranja, refundacije štete i totalne štete</v>
          </cell>
          <cell r="C726" t="str">
            <v>65267</v>
          </cell>
          <cell r="D726">
            <v>16252.66</v>
          </cell>
          <cell r="E726">
            <v>1656.57</v>
          </cell>
        </row>
        <row r="727">
          <cell r="A727">
            <v>66341</v>
          </cell>
          <cell r="B727" t="str">
            <v>Povrat kapitalnih pomoći danih trgovačkim društvima u javnom sektoru po protestiranim jamstvima</v>
          </cell>
          <cell r="C727">
            <v>66341</v>
          </cell>
          <cell r="D727">
            <v>0</v>
          </cell>
          <cell r="E727">
            <v>0</v>
          </cell>
        </row>
        <row r="728">
          <cell r="A728">
            <v>66342</v>
          </cell>
          <cell r="B728" t="str">
            <v>Povrat kapitalnih pomoći danih tuzemnim trgovačkim društvima izvan javnog sektora po protestiranim jamstvima</v>
          </cell>
          <cell r="C728">
            <v>66342</v>
          </cell>
          <cell r="D728">
            <v>0</v>
          </cell>
          <cell r="E728">
            <v>0</v>
          </cell>
        </row>
        <row r="729">
          <cell r="A729">
            <v>66343</v>
          </cell>
          <cell r="B729" t="str">
            <v>Povrat kapitalnih pomoći danih tuzemnim obrtnicima po protestiranim jamstvima</v>
          </cell>
          <cell r="C729">
            <v>66343</v>
          </cell>
          <cell r="D729">
            <v>0</v>
          </cell>
          <cell r="E729">
            <v>0</v>
          </cell>
        </row>
        <row r="730">
          <cell r="A730">
            <v>66344</v>
          </cell>
          <cell r="B730" t="str">
            <v xml:space="preserve">Povrat kapitalnih pomoći danih inozemnim trgovačkim društvima po protestiranim jamstvima </v>
          </cell>
          <cell r="C730">
            <v>66344</v>
          </cell>
          <cell r="D730">
            <v>0</v>
          </cell>
          <cell r="E730">
            <v>0</v>
          </cell>
        </row>
        <row r="731">
          <cell r="A731">
            <v>66345</v>
          </cell>
          <cell r="B731" t="str">
            <v xml:space="preserve">Povrat kapitalnih pomoći danih inozemnim obrtnicima po protestiranim jamstvima </v>
          </cell>
          <cell r="C731">
            <v>66345</v>
          </cell>
          <cell r="D731">
            <v>0</v>
          </cell>
          <cell r="E731">
            <v>0</v>
          </cell>
        </row>
        <row r="732">
          <cell r="A732">
            <v>31214</v>
          </cell>
          <cell r="B732" t="str">
            <v>Otpremnine</v>
          </cell>
          <cell r="C732" t="str">
            <v>31214</v>
          </cell>
          <cell r="D732">
            <v>128069.45</v>
          </cell>
          <cell r="E732">
            <v>138501.43</v>
          </cell>
        </row>
        <row r="733">
          <cell r="A733">
            <v>31215</v>
          </cell>
          <cell r="B733" t="str">
            <v>Naknade za bolest, invalidnost i smrtni slučaj</v>
          </cell>
          <cell r="C733" t="str">
            <v>31215</v>
          </cell>
          <cell r="D733">
            <v>16870.2</v>
          </cell>
          <cell r="E733">
            <v>11849.35</v>
          </cell>
        </row>
        <row r="734">
          <cell r="A734">
            <v>32121</v>
          </cell>
          <cell r="B734" t="str">
            <v>Naknade za prijevoz na posao i s posla</v>
          </cell>
          <cell r="C734" t="str">
            <v>32121</v>
          </cell>
          <cell r="D734">
            <v>301115.64</v>
          </cell>
          <cell r="E734">
            <v>323468.42</v>
          </cell>
        </row>
        <row r="735">
          <cell r="A735" t="str">
            <v>32351</v>
          </cell>
          <cell r="B735" t="str">
            <v>Zakupnine za zemljišta</v>
          </cell>
          <cell r="C735" t="str">
            <v>32351</v>
          </cell>
          <cell r="D735">
            <v>0</v>
          </cell>
          <cell r="E735">
            <v>0</v>
          </cell>
        </row>
        <row r="736">
          <cell r="A736" t="str">
            <v>32361</v>
          </cell>
          <cell r="B736" t="str">
            <v>Obvezni i preventivni zdravstveni pregledi zaposlenika</v>
          </cell>
          <cell r="C736" t="str">
            <v>32361</v>
          </cell>
          <cell r="D736">
            <v>30398.47</v>
          </cell>
          <cell r="E736">
            <v>25883.52</v>
          </cell>
        </row>
        <row r="737">
          <cell r="A737" t="str">
            <v>32371</v>
          </cell>
          <cell r="B737" t="str">
            <v>Autorski honorari</v>
          </cell>
          <cell r="C737" t="str">
            <v>32371</v>
          </cell>
          <cell r="D737">
            <v>55561.2</v>
          </cell>
          <cell r="E737">
            <v>100954.42</v>
          </cell>
        </row>
        <row r="738">
          <cell r="A738" t="str">
            <v>32372</v>
          </cell>
          <cell r="B738" t="str">
            <v>Ugovori o djelu</v>
          </cell>
          <cell r="C738" t="str">
            <v>32372</v>
          </cell>
          <cell r="D738">
            <v>938.06</v>
          </cell>
          <cell r="E738">
            <v>6325.91</v>
          </cell>
        </row>
        <row r="739">
          <cell r="A739" t="str">
            <v>32377</v>
          </cell>
          <cell r="B739" t="str">
            <v>Usluge agencija, studentskog servisa (prijepisi, prijevodi i drugo)</v>
          </cell>
          <cell r="C739" t="str">
            <v>32377</v>
          </cell>
          <cell r="D739">
            <v>3415.79</v>
          </cell>
          <cell r="E739">
            <v>495</v>
          </cell>
        </row>
        <row r="740">
          <cell r="A740" t="str">
            <v>32398</v>
          </cell>
          <cell r="B740" t="str">
            <v>Naknada za energetsku uslugu</v>
          </cell>
          <cell r="C740" t="str">
            <v>32398</v>
          </cell>
          <cell r="D740">
            <v>0</v>
          </cell>
          <cell r="E740">
            <v>0</v>
          </cell>
        </row>
        <row r="741">
          <cell r="A741">
            <v>32911</v>
          </cell>
          <cell r="B741" t="str">
            <v>Naknade za rad članovima predstavničkih i izvršnih tijela i upravnih vijeća</v>
          </cell>
          <cell r="C741" t="str">
            <v>32911</v>
          </cell>
          <cell r="D741">
            <v>6122.57</v>
          </cell>
          <cell r="E741">
            <v>5083.92</v>
          </cell>
        </row>
        <row r="742">
          <cell r="A742" t="str">
            <v>32923</v>
          </cell>
          <cell r="B742" t="str">
            <v>Premije osiguranja zaposlenih</v>
          </cell>
          <cell r="C742" t="str">
            <v>32923</v>
          </cell>
          <cell r="D742">
            <v>9514.18</v>
          </cell>
          <cell r="E742">
            <v>9667.36</v>
          </cell>
        </row>
        <row r="743">
          <cell r="A743" t="str">
            <v>32942</v>
          </cell>
          <cell r="B743" t="str">
            <v>Međunarodne članarine</v>
          </cell>
          <cell r="C743" t="str">
            <v>32942</v>
          </cell>
          <cell r="D743">
            <v>0</v>
          </cell>
          <cell r="E743">
            <v>4419.9399999999996</v>
          </cell>
        </row>
        <row r="744">
          <cell r="A744" t="str">
            <v>32955</v>
          </cell>
          <cell r="B744" t="str">
            <v>Novčana naknada poslodavca zbog nezapošljavanja osoba s invaliditetom</v>
          </cell>
          <cell r="C744" t="str">
            <v>32955</v>
          </cell>
          <cell r="D744">
            <v>0</v>
          </cell>
          <cell r="E744">
            <v>13618</v>
          </cell>
        </row>
        <row r="745">
          <cell r="A745">
            <v>34111</v>
          </cell>
          <cell r="B745" t="str">
            <v>Kamate za izdane trezorske zapise u zemlji</v>
          </cell>
          <cell r="C745" t="str">
            <v>34111</v>
          </cell>
          <cell r="D745">
            <v>0</v>
          </cell>
          <cell r="E745">
            <v>0</v>
          </cell>
        </row>
        <row r="746">
          <cell r="A746">
            <v>34112</v>
          </cell>
          <cell r="B746" t="str">
            <v>Kamate za izdane trezorske zapise u inozemstvu</v>
          </cell>
          <cell r="C746" t="str">
            <v>34112</v>
          </cell>
          <cell r="D746">
            <v>0</v>
          </cell>
          <cell r="E746">
            <v>0</v>
          </cell>
        </row>
        <row r="747">
          <cell r="A747">
            <v>34121</v>
          </cell>
          <cell r="B747" t="str">
            <v>Kamate za izdane mjenice u domaćoj valuti</v>
          </cell>
          <cell r="C747" t="str">
            <v>34121</v>
          </cell>
          <cell r="D747">
            <v>0</v>
          </cell>
          <cell r="E747">
            <v>0</v>
          </cell>
        </row>
        <row r="748">
          <cell r="A748">
            <v>34122</v>
          </cell>
          <cell r="B748" t="str">
            <v>Kamate za izdane mjenice u stranoj valuti</v>
          </cell>
          <cell r="C748" t="str">
            <v>34122</v>
          </cell>
          <cell r="D748">
            <v>0</v>
          </cell>
          <cell r="E748">
            <v>0</v>
          </cell>
        </row>
        <row r="749">
          <cell r="A749">
            <v>34131</v>
          </cell>
          <cell r="B749" t="str">
            <v>Kamate za izdane obveznice u zemlji</v>
          </cell>
          <cell r="C749" t="str">
            <v>34131</v>
          </cell>
          <cell r="D749">
            <v>0</v>
          </cell>
          <cell r="E749">
            <v>0</v>
          </cell>
        </row>
        <row r="750">
          <cell r="A750">
            <v>34132</v>
          </cell>
          <cell r="B750" t="str">
            <v>Kamate za izdane obveznice u inozemstvu</v>
          </cell>
          <cell r="C750" t="str">
            <v>34132</v>
          </cell>
          <cell r="D750">
            <v>0</v>
          </cell>
          <cell r="E750">
            <v>0</v>
          </cell>
        </row>
        <row r="751">
          <cell r="A751">
            <v>34191</v>
          </cell>
          <cell r="B751" t="str">
            <v>Kamate za ostale vrijednosne papire u zemlji</v>
          </cell>
          <cell r="C751" t="str">
            <v>34191</v>
          </cell>
          <cell r="D751">
            <v>0</v>
          </cell>
          <cell r="E751">
            <v>0</v>
          </cell>
        </row>
        <row r="752">
          <cell r="A752">
            <v>34192</v>
          </cell>
          <cell r="B752" t="str">
            <v>Kamate za ostale vrijednosne papire u inozemstvu</v>
          </cell>
          <cell r="C752" t="str">
            <v>34192</v>
          </cell>
          <cell r="D752">
            <v>0</v>
          </cell>
          <cell r="E752">
            <v>0</v>
          </cell>
        </row>
        <row r="753">
          <cell r="A753">
            <v>34213</v>
          </cell>
          <cell r="B753" t="str">
            <v>Kamate za primljene zajmove od međunarodnih organizacija</v>
          </cell>
          <cell r="C753" t="str">
            <v>34213</v>
          </cell>
          <cell r="D753">
            <v>0</v>
          </cell>
          <cell r="E753">
            <v>0</v>
          </cell>
        </row>
        <row r="754">
          <cell r="A754">
            <v>34214</v>
          </cell>
          <cell r="B754" t="str">
            <v>Kamate za primljene kredite i zajmove od institucija i tijela EU</v>
          </cell>
          <cell r="C754" t="str">
            <v>34214</v>
          </cell>
          <cell r="D754">
            <v>0</v>
          </cell>
          <cell r="E754">
            <v>0</v>
          </cell>
        </row>
        <row r="755">
          <cell r="A755">
            <v>34215</v>
          </cell>
          <cell r="B755" t="str">
            <v>Kamate za primljene zajmove od inozemnih vlada u EU</v>
          </cell>
          <cell r="C755" t="str">
            <v>34215</v>
          </cell>
          <cell r="D755">
            <v>0</v>
          </cell>
          <cell r="E755">
            <v>0</v>
          </cell>
        </row>
        <row r="756">
          <cell r="A756">
            <v>34216</v>
          </cell>
          <cell r="B756" t="str">
            <v>Kamate za primljene zajmove od inozemnih vlada izvan EU</v>
          </cell>
          <cell r="C756" t="str">
            <v>34216</v>
          </cell>
          <cell r="D756">
            <v>0</v>
          </cell>
          <cell r="E756">
            <v>0</v>
          </cell>
        </row>
        <row r="757">
          <cell r="A757">
            <v>34222</v>
          </cell>
          <cell r="B757" t="str">
            <v>Kamate za primljene kredite od kreditnih institucija u javnom sektoru</v>
          </cell>
          <cell r="C757" t="str">
            <v>34222</v>
          </cell>
          <cell r="D757">
            <v>0</v>
          </cell>
          <cell r="E757">
            <v>0</v>
          </cell>
        </row>
        <row r="758">
          <cell r="A758">
            <v>34223</v>
          </cell>
          <cell r="B758" t="str">
            <v>Kamate za primljene zajmove od osiguravajućih društava u javnom sektoru</v>
          </cell>
          <cell r="C758" t="str">
            <v>34223</v>
          </cell>
          <cell r="D758">
            <v>0</v>
          </cell>
          <cell r="E758">
            <v>0</v>
          </cell>
        </row>
        <row r="759">
          <cell r="A759">
            <v>34224</v>
          </cell>
          <cell r="B759" t="str">
            <v>Kamate za primljene zajmove od ostalih financijskih institucija u javnom sektoru</v>
          </cell>
          <cell r="C759" t="str">
            <v>34224</v>
          </cell>
          <cell r="D759">
            <v>0</v>
          </cell>
          <cell r="E759">
            <v>0</v>
          </cell>
        </row>
        <row r="760">
          <cell r="A760">
            <v>34233</v>
          </cell>
          <cell r="B760" t="str">
            <v>Kamate za primljene kredite od tuzemnih kreditnih institucija izvan javnog sektora</v>
          </cell>
          <cell r="C760" t="str">
            <v>34233</v>
          </cell>
          <cell r="D760">
            <v>0</v>
          </cell>
          <cell r="E760">
            <v>0</v>
          </cell>
        </row>
        <row r="761">
          <cell r="A761">
            <v>34234</v>
          </cell>
          <cell r="B761" t="str">
            <v>Kamate za primljene zajmove od tuzemnih osiguravajućih društava izvan javnog sektora</v>
          </cell>
          <cell r="C761" t="str">
            <v>34234</v>
          </cell>
          <cell r="D761">
            <v>0</v>
          </cell>
          <cell r="E761">
            <v>0</v>
          </cell>
        </row>
        <row r="762">
          <cell r="A762">
            <v>34235</v>
          </cell>
          <cell r="B762" t="str">
            <v>Kamate za primljene zajmove od ostalih tuzemnih financijskih institucija izvan javnog sektora</v>
          </cell>
          <cell r="C762" t="str">
            <v>34235</v>
          </cell>
          <cell r="D762">
            <v>0</v>
          </cell>
          <cell r="E762">
            <v>0</v>
          </cell>
        </row>
        <row r="763">
          <cell r="A763">
            <v>34236</v>
          </cell>
          <cell r="B763" t="str">
            <v>Kamate za primljene kredite od inozemnih kreditnih institucija</v>
          </cell>
          <cell r="C763" t="str">
            <v>34236</v>
          </cell>
          <cell r="D763">
            <v>0</v>
          </cell>
          <cell r="E763">
            <v>0</v>
          </cell>
        </row>
        <row r="764">
          <cell r="A764">
            <v>34237</v>
          </cell>
          <cell r="B764" t="str">
            <v>Kamate za primljene zajmove od inozemnih osiguravajućih društava</v>
          </cell>
          <cell r="C764" t="str">
            <v>34237</v>
          </cell>
          <cell r="D764">
            <v>0</v>
          </cell>
          <cell r="E764">
            <v>0</v>
          </cell>
        </row>
        <row r="765">
          <cell r="A765">
            <v>34238</v>
          </cell>
          <cell r="B765" t="str">
            <v>Kamate za primljene zajmove od ostalih inozemnih financijskih institucija</v>
          </cell>
          <cell r="C765" t="str">
            <v>34238</v>
          </cell>
          <cell r="D765">
            <v>0</v>
          </cell>
          <cell r="E765">
            <v>0</v>
          </cell>
        </row>
        <row r="766">
          <cell r="A766">
            <v>34273</v>
          </cell>
          <cell r="B766" t="str">
            <v>Kamate za primljene zajmove od tuzemnih trgovačkih društava izvan javnog sektora</v>
          </cell>
          <cell r="C766" t="str">
            <v>34273</v>
          </cell>
          <cell r="D766">
            <v>0</v>
          </cell>
          <cell r="E766">
            <v>0</v>
          </cell>
        </row>
        <row r="767">
          <cell r="A767">
            <v>34274</v>
          </cell>
          <cell r="B767" t="str">
            <v>Kamate za primljene zajmove od tuzemnih obrtnika</v>
          </cell>
          <cell r="C767" t="str">
            <v>34274</v>
          </cell>
          <cell r="D767">
            <v>0</v>
          </cell>
          <cell r="E767">
            <v>0</v>
          </cell>
        </row>
        <row r="768">
          <cell r="A768">
            <v>34275</v>
          </cell>
          <cell r="B768" t="str">
            <v>Kamate za primljene zajmove od inozemnih trgovačkih društava</v>
          </cell>
          <cell r="C768" t="str">
            <v>34275</v>
          </cell>
          <cell r="D768">
            <v>0</v>
          </cell>
          <cell r="E768">
            <v>0</v>
          </cell>
        </row>
        <row r="769">
          <cell r="A769">
            <v>34281</v>
          </cell>
          <cell r="B769" t="str">
            <v>Kamate za primljene zajmove od državnog proračuna</v>
          </cell>
          <cell r="C769" t="str">
            <v>34281</v>
          </cell>
          <cell r="D769">
            <v>0</v>
          </cell>
          <cell r="E769">
            <v>0</v>
          </cell>
        </row>
        <row r="770">
          <cell r="A770">
            <v>34282</v>
          </cell>
          <cell r="B770" t="str">
            <v>Kamate za primljene zajmove od županijskih proračuna</v>
          </cell>
          <cell r="C770" t="str">
            <v>34282</v>
          </cell>
          <cell r="D770">
            <v>0</v>
          </cell>
          <cell r="E770">
            <v>0</v>
          </cell>
        </row>
        <row r="771">
          <cell r="A771">
            <v>34283</v>
          </cell>
          <cell r="B771" t="str">
            <v>Kamate za primljene zajmove od gradskih proračuna</v>
          </cell>
          <cell r="C771" t="str">
            <v>34283</v>
          </cell>
          <cell r="D771">
            <v>0</v>
          </cell>
          <cell r="E771">
            <v>0</v>
          </cell>
        </row>
        <row r="772">
          <cell r="A772">
            <v>34284</v>
          </cell>
          <cell r="B772" t="str">
            <v>Kamate za primljene zajmove od općinskih proračuna</v>
          </cell>
          <cell r="C772" t="str">
            <v>34284</v>
          </cell>
          <cell r="D772">
            <v>0</v>
          </cell>
          <cell r="E772">
            <v>0</v>
          </cell>
        </row>
        <row r="773">
          <cell r="A773">
            <v>34285</v>
          </cell>
          <cell r="B773" t="str">
            <v>Kamate za primljene zajmove od HZMO-a, HZZ-a, HZZO-a</v>
          </cell>
          <cell r="C773" t="str">
            <v>34285</v>
          </cell>
          <cell r="D773">
            <v>0</v>
          </cell>
          <cell r="E773">
            <v>0</v>
          </cell>
        </row>
        <row r="774">
          <cell r="A774">
            <v>34286</v>
          </cell>
          <cell r="B774" t="str">
            <v>Kamate za primljene zajmove od ostalih izvanproračunskih korisnika državnog proračuna</v>
          </cell>
          <cell r="C774" t="str">
            <v>34286</v>
          </cell>
          <cell r="D774">
            <v>0</v>
          </cell>
          <cell r="E774">
            <v>0</v>
          </cell>
        </row>
        <row r="775">
          <cell r="A775">
            <v>34287</v>
          </cell>
          <cell r="B775" t="str">
            <v xml:space="preserve">Kamate za primljene zajmove od izvanproračunskih korisnika JLP(R)S </v>
          </cell>
          <cell r="C775" t="str">
            <v>34287</v>
          </cell>
          <cell r="D775">
            <v>0</v>
          </cell>
          <cell r="E775">
            <v>0</v>
          </cell>
        </row>
        <row r="776">
          <cell r="A776">
            <v>34341</v>
          </cell>
          <cell r="B776" t="str">
            <v>Diskont na izdane vrijednosne papire</v>
          </cell>
          <cell r="C776" t="str">
            <v>34341</v>
          </cell>
          <cell r="D776">
            <v>0</v>
          </cell>
          <cell r="E776">
            <v>0</v>
          </cell>
        </row>
        <row r="777">
          <cell r="A777">
            <v>35231</v>
          </cell>
          <cell r="B777" t="str">
            <v>Subvencije poljoprivrednicima</v>
          </cell>
          <cell r="C777" t="str">
            <v>35231</v>
          </cell>
          <cell r="D777">
            <v>0</v>
          </cell>
          <cell r="E777">
            <v>0</v>
          </cell>
        </row>
        <row r="778">
          <cell r="A778">
            <v>35232</v>
          </cell>
          <cell r="B778" t="str">
            <v>Subvencije obrtnicima</v>
          </cell>
          <cell r="C778" t="str">
            <v>35232</v>
          </cell>
          <cell r="D778">
            <v>0</v>
          </cell>
          <cell r="E778">
            <v>0</v>
          </cell>
        </row>
        <row r="779">
          <cell r="A779">
            <v>36313</v>
          </cell>
          <cell r="B779" t="str">
            <v>Tekuće pomoći državnom proračunu</v>
          </cell>
          <cell r="C779" t="str">
            <v>36313</v>
          </cell>
          <cell r="D779">
            <v>0</v>
          </cell>
          <cell r="E779">
            <v>0</v>
          </cell>
        </row>
        <row r="780">
          <cell r="A780">
            <v>36314</v>
          </cell>
          <cell r="B780" t="str">
            <v>Tekuće pomoći županijskim proračunima</v>
          </cell>
          <cell r="C780" t="str">
            <v>36314</v>
          </cell>
          <cell r="D780">
            <v>0</v>
          </cell>
          <cell r="E780">
            <v>0</v>
          </cell>
        </row>
        <row r="781">
          <cell r="A781">
            <v>36315</v>
          </cell>
          <cell r="B781" t="str">
            <v>Tekuće pomoći gradskim proračunima</v>
          </cell>
          <cell r="C781" t="str">
            <v>36315</v>
          </cell>
          <cell r="D781">
            <v>0</v>
          </cell>
          <cell r="E781">
            <v>0</v>
          </cell>
        </row>
        <row r="782">
          <cell r="A782">
            <v>36316</v>
          </cell>
          <cell r="B782" t="str">
            <v>Tekuće pomoći općinskim proračunima</v>
          </cell>
          <cell r="C782" t="str">
            <v>36316</v>
          </cell>
          <cell r="D782">
            <v>0</v>
          </cell>
          <cell r="E782">
            <v>0</v>
          </cell>
        </row>
        <row r="783">
          <cell r="A783">
            <v>36317</v>
          </cell>
          <cell r="B783" t="str">
            <v>Tekuće pomoći HZMO-u, HZZ-u i HZZO-u</v>
          </cell>
          <cell r="C783" t="str">
            <v>36317</v>
          </cell>
          <cell r="D783">
            <v>0</v>
          </cell>
          <cell r="E783">
            <v>0</v>
          </cell>
        </row>
        <row r="784">
          <cell r="A784">
            <v>36318</v>
          </cell>
          <cell r="B784" t="str">
            <v>Tekuće pomoći ostalim izvanproračunskim korisnicima državnog proračuna</v>
          </cell>
          <cell r="C784" t="str">
            <v>36318</v>
          </cell>
          <cell r="D784">
            <v>0</v>
          </cell>
          <cell r="E784">
            <v>0</v>
          </cell>
        </row>
        <row r="785">
          <cell r="A785">
            <v>36319</v>
          </cell>
          <cell r="B785" t="str">
            <v>Tekuće pomoći izvanproračunskim korisnicima JLP(R)S</v>
          </cell>
          <cell r="C785" t="str">
            <v>36319</v>
          </cell>
          <cell r="D785">
            <v>0</v>
          </cell>
          <cell r="E785">
            <v>0</v>
          </cell>
        </row>
        <row r="786">
          <cell r="A786">
            <v>36323</v>
          </cell>
          <cell r="B786" t="str">
            <v>Kapitalne pomoći državnom proračunu</v>
          </cell>
          <cell r="C786" t="str">
            <v>36323</v>
          </cell>
          <cell r="D786">
            <v>0</v>
          </cell>
          <cell r="E786">
            <v>0</v>
          </cell>
        </row>
        <row r="787">
          <cell r="A787">
            <v>36324</v>
          </cell>
          <cell r="B787" t="str">
            <v>Kapitalne pomoći županijskim proračunima</v>
          </cell>
          <cell r="C787" t="str">
            <v>36324</v>
          </cell>
          <cell r="D787">
            <v>0</v>
          </cell>
          <cell r="E787">
            <v>0</v>
          </cell>
        </row>
        <row r="788">
          <cell r="A788">
            <v>36325</v>
          </cell>
          <cell r="B788" t="str">
            <v>Kapitalne pomoći gradskim proračunima</v>
          </cell>
          <cell r="C788" t="str">
            <v>36325</v>
          </cell>
          <cell r="D788">
            <v>0</v>
          </cell>
          <cell r="E788">
            <v>0</v>
          </cell>
        </row>
        <row r="789">
          <cell r="A789">
            <v>36326</v>
          </cell>
          <cell r="B789" t="str">
            <v>Kapitalne pomoći općinskim proračunima</v>
          </cell>
          <cell r="C789" t="str">
            <v>36326</v>
          </cell>
          <cell r="D789">
            <v>0</v>
          </cell>
          <cell r="E789">
            <v>0</v>
          </cell>
        </row>
        <row r="790">
          <cell r="A790">
            <v>36327</v>
          </cell>
          <cell r="B790" t="str">
            <v>Kapitalne pomoći HZMO-u, HZZ-u i HZZO-u</v>
          </cell>
          <cell r="C790" t="str">
            <v>36327</v>
          </cell>
          <cell r="D790">
            <v>0</v>
          </cell>
          <cell r="E790">
            <v>0</v>
          </cell>
        </row>
        <row r="791">
          <cell r="A791">
            <v>36328</v>
          </cell>
          <cell r="B791" t="str">
            <v>Kapitalne pomoći ostalim izvanproračunskim korisnicima državnog proračuna</v>
          </cell>
          <cell r="C791" t="str">
            <v>36328</v>
          </cell>
          <cell r="D791">
            <v>0</v>
          </cell>
          <cell r="E791">
            <v>0</v>
          </cell>
        </row>
        <row r="792">
          <cell r="A792">
            <v>36329</v>
          </cell>
          <cell r="B792" t="str">
            <v>Kapitalne pomoći izvanproračunskim korisnicima JLP(R)S</v>
          </cell>
          <cell r="C792" t="str">
            <v>36329</v>
          </cell>
          <cell r="D792">
            <v>0</v>
          </cell>
          <cell r="E792">
            <v>0</v>
          </cell>
        </row>
        <row r="793">
          <cell r="A793" t="str">
            <v>36351</v>
          </cell>
          <cell r="B793" t="str">
            <v>Pomoći županijskim proračunima po protestiranim jamstvima</v>
          </cell>
          <cell r="C793" t="str">
            <v>36351</v>
          </cell>
          <cell r="D793">
            <v>0</v>
          </cell>
          <cell r="E793">
            <v>0</v>
          </cell>
        </row>
        <row r="794">
          <cell r="A794" t="str">
            <v>36352</v>
          </cell>
          <cell r="B794" t="str">
            <v>Pomoći gradskim proračunima po protestiranim jamstvima</v>
          </cell>
          <cell r="C794" t="str">
            <v>36352</v>
          </cell>
          <cell r="D794">
            <v>0</v>
          </cell>
          <cell r="E794">
            <v>0</v>
          </cell>
        </row>
        <row r="795">
          <cell r="A795" t="str">
            <v>36353</v>
          </cell>
          <cell r="B795" t="str">
            <v>Pomoći općinskim proračunima po protestiranim jamstvima</v>
          </cell>
          <cell r="C795" t="str">
            <v>36353</v>
          </cell>
          <cell r="D795">
            <v>0</v>
          </cell>
          <cell r="E795">
            <v>0</v>
          </cell>
        </row>
        <row r="796">
          <cell r="A796" t="str">
            <v>36354</v>
          </cell>
          <cell r="B796" t="str">
            <v>Pomoći HZMO-u, HZZ-u i HZZO-u po protestiranim jamstvima</v>
          </cell>
          <cell r="C796" t="str">
            <v>36354</v>
          </cell>
          <cell r="D796">
            <v>0</v>
          </cell>
          <cell r="E796">
            <v>0</v>
          </cell>
        </row>
        <row r="797">
          <cell r="A797" t="str">
            <v>36355</v>
          </cell>
          <cell r="B797" t="str">
            <v>Pomoći ostalim izvanproračunskim korisnicima državnog proračuna po protestiranim jamstvima</v>
          </cell>
          <cell r="C797" t="str">
            <v>36355</v>
          </cell>
          <cell r="D797">
            <v>0</v>
          </cell>
          <cell r="E797">
            <v>0</v>
          </cell>
        </row>
        <row r="798">
          <cell r="A798" t="str">
            <v>36356</v>
          </cell>
          <cell r="B798" t="str">
            <v>Pomoći izvanproračunskim korisnicima JLP(R)S po protestiranim jamstvima</v>
          </cell>
          <cell r="C798" t="str">
            <v>36356</v>
          </cell>
          <cell r="D798">
            <v>0</v>
          </cell>
          <cell r="E798">
            <v>0</v>
          </cell>
        </row>
        <row r="799">
          <cell r="A799" t="str">
            <v>36361</v>
          </cell>
          <cell r="B799" t="str">
            <v>Povrat pomoći primljenih iz državnog proračuna po protestiranim jamstvima</v>
          </cell>
          <cell r="C799" t="str">
            <v>36361</v>
          </cell>
          <cell r="D799">
            <v>0</v>
          </cell>
          <cell r="E799">
            <v>0</v>
          </cell>
        </row>
        <row r="800">
          <cell r="A800" t="str">
            <v>36362</v>
          </cell>
          <cell r="B800" t="str">
            <v>Povrat pomoći primljenih iz županijskih proračuna po protestiranim jamstvima</v>
          </cell>
          <cell r="C800" t="str">
            <v>36362</v>
          </cell>
          <cell r="D800">
            <v>0</v>
          </cell>
          <cell r="E800">
            <v>0</v>
          </cell>
        </row>
        <row r="801">
          <cell r="A801" t="str">
            <v>36363</v>
          </cell>
          <cell r="B801" t="str">
            <v>Povrat pomoći primljenih iz gradskih proračuna po protestiranim jamstvima</v>
          </cell>
          <cell r="C801" t="str">
            <v>36363</v>
          </cell>
          <cell r="D801">
            <v>0</v>
          </cell>
          <cell r="E801">
            <v>0</v>
          </cell>
        </row>
        <row r="802">
          <cell r="A802" t="str">
            <v>36364</v>
          </cell>
          <cell r="B802" t="str">
            <v>Povrat pomoći primljenih iz općinskih proračuna po protestiranim jamstvima</v>
          </cell>
          <cell r="C802" t="str">
            <v>36364</v>
          </cell>
          <cell r="D802">
            <v>0</v>
          </cell>
          <cell r="E802">
            <v>0</v>
          </cell>
        </row>
        <row r="803">
          <cell r="A803" t="str">
            <v>36365</v>
          </cell>
          <cell r="B803" t="str">
            <v>Povrat pomoći primljenih od HZMO-a, HZZ-a i HZZO-a po protestiranim jamstvima</v>
          </cell>
          <cell r="C803" t="str">
            <v>36365</v>
          </cell>
          <cell r="D803">
            <v>0</v>
          </cell>
          <cell r="E803">
            <v>0</v>
          </cell>
        </row>
        <row r="804">
          <cell r="A804" t="str">
            <v>36366</v>
          </cell>
          <cell r="B804" t="str">
            <v>Povrat pomoći primljenih od ostalih izvanproračunskih korisnika državnog proračuna po protestiranim jamstvima</v>
          </cell>
          <cell r="C804" t="str">
            <v>36366</v>
          </cell>
          <cell r="D804">
            <v>0</v>
          </cell>
          <cell r="E804">
            <v>0</v>
          </cell>
        </row>
        <row r="805">
          <cell r="A805" t="str">
            <v>36367</v>
          </cell>
          <cell r="B805" t="str">
            <v>Povrat pomoći primljenih od izvanproračunskih korisnika JLP(R)S po protestiranim jamstvima</v>
          </cell>
          <cell r="C805" t="str">
            <v>36367</v>
          </cell>
          <cell r="D805">
            <v>0</v>
          </cell>
          <cell r="E805">
            <v>0</v>
          </cell>
        </row>
        <row r="806">
          <cell r="A806">
            <v>36511</v>
          </cell>
          <cell r="B806" t="str">
            <v>Tekuće pomoći izravnanja za decentralizirane funkcije županijskim proračunima</v>
          </cell>
          <cell r="C806">
            <v>36511</v>
          </cell>
          <cell r="D806">
            <v>0</v>
          </cell>
          <cell r="E806">
            <v>0</v>
          </cell>
        </row>
        <row r="807">
          <cell r="A807" t="str">
            <v>36512</v>
          </cell>
          <cell r="B807" t="str">
            <v>Tekuće pomoći izravnanja za decentralizirane funkcije gradskim proračunima</v>
          </cell>
          <cell r="C807" t="str">
            <v>36512</v>
          </cell>
          <cell r="D807">
            <v>0</v>
          </cell>
          <cell r="E807">
            <v>0</v>
          </cell>
        </row>
        <row r="808">
          <cell r="A808" t="str">
            <v>36513</v>
          </cell>
          <cell r="B808" t="str">
            <v>Tekuće pomoći izravnanja za decentralizirane funkcije općinskim proračunima</v>
          </cell>
          <cell r="C808" t="str">
            <v>36513</v>
          </cell>
          <cell r="D808">
            <v>0</v>
          </cell>
          <cell r="E808">
            <v>0</v>
          </cell>
        </row>
        <row r="809">
          <cell r="A809" t="str">
            <v>36521</v>
          </cell>
          <cell r="B809" t="str">
            <v>Kapitalne pomoći izravnanja za decentralizirane funkcije županijskim proračunima</v>
          </cell>
          <cell r="C809" t="str">
            <v>36521</v>
          </cell>
          <cell r="D809">
            <v>0</v>
          </cell>
          <cell r="E809">
            <v>0</v>
          </cell>
        </row>
        <row r="810">
          <cell r="A810" t="str">
            <v>36522</v>
          </cell>
          <cell r="B810" t="str">
            <v>Kapitalne pomoći izravnanja za decentralizirane funkcije gradskim proračunima</v>
          </cell>
          <cell r="C810" t="str">
            <v>36522</v>
          </cell>
          <cell r="D810">
            <v>0</v>
          </cell>
          <cell r="E810">
            <v>0</v>
          </cell>
        </row>
        <row r="811">
          <cell r="A811" t="str">
            <v>36523</v>
          </cell>
          <cell r="B811" t="str">
            <v>Kapitalne pomoći izravnanja za decentralizirane funkcije općinskim proračunima</v>
          </cell>
          <cell r="C811" t="str">
            <v>36523</v>
          </cell>
          <cell r="D811">
            <v>0</v>
          </cell>
          <cell r="E811">
            <v>0</v>
          </cell>
        </row>
        <row r="812">
          <cell r="A812" t="str">
            <v>36531</v>
          </cell>
          <cell r="B812" t="str">
            <v>Pomoći fiskalnog izravnanja županijskim proračunima</v>
          </cell>
          <cell r="C812" t="str">
            <v>36531</v>
          </cell>
          <cell r="D812">
            <v>0</v>
          </cell>
          <cell r="E812">
            <v>0</v>
          </cell>
        </row>
        <row r="813">
          <cell r="A813" t="str">
            <v>36532</v>
          </cell>
          <cell r="B813" t="str">
            <v>Pomoći fiskalnog izravnanja gradskim proračunima</v>
          </cell>
          <cell r="C813" t="str">
            <v>36532</v>
          </cell>
          <cell r="D813">
            <v>0</v>
          </cell>
          <cell r="E813">
            <v>0</v>
          </cell>
        </row>
        <row r="814">
          <cell r="A814" t="str">
            <v>36533</v>
          </cell>
          <cell r="B814" t="str">
            <v>Pomoći fiskalnog izravnanja općinskim proračunima</v>
          </cell>
          <cell r="C814" t="str">
            <v>36533</v>
          </cell>
          <cell r="D814">
            <v>0</v>
          </cell>
          <cell r="E814">
            <v>0</v>
          </cell>
        </row>
        <row r="815">
          <cell r="A815" t="str">
            <v>36631</v>
          </cell>
          <cell r="B815" t="str">
            <v>Pomoći proračunskim korisnicima državnog proračuna po protestiranim jamstvima</v>
          </cell>
          <cell r="C815" t="str">
            <v>36631</v>
          </cell>
          <cell r="D815">
            <v>0</v>
          </cell>
          <cell r="E815">
            <v>0</v>
          </cell>
        </row>
        <row r="816">
          <cell r="A816" t="str">
            <v>36632</v>
          </cell>
          <cell r="B816" t="str">
            <v>Pomoći proračunskim korisnicima JLP(R)S po protestiranim jamstvima</v>
          </cell>
          <cell r="C816" t="str">
            <v>36632</v>
          </cell>
          <cell r="D816">
            <v>0</v>
          </cell>
          <cell r="E816">
            <v>0</v>
          </cell>
        </row>
        <row r="817">
          <cell r="A817" t="str">
            <v>36811</v>
          </cell>
          <cell r="B817" t="str">
            <v>Tekuće pomoći proračunskim korisnicima državnog proračuna temeljem prijenosa EU sredstava</v>
          </cell>
          <cell r="C817" t="str">
            <v>36811</v>
          </cell>
          <cell r="D817">
            <v>0</v>
          </cell>
          <cell r="E817">
            <v>0</v>
          </cell>
        </row>
        <row r="818">
          <cell r="A818" t="str">
            <v>36812</v>
          </cell>
          <cell r="B818" t="str">
            <v>Tekuće pomoći proračunskim korisnicima županijskih proračuna temeljem prijenosa EU sredstava</v>
          </cell>
          <cell r="C818" t="str">
            <v>36812</v>
          </cell>
          <cell r="D818">
            <v>0</v>
          </cell>
          <cell r="E818">
            <v>0</v>
          </cell>
        </row>
        <row r="819">
          <cell r="A819" t="str">
            <v>36813</v>
          </cell>
          <cell r="B819" t="str">
            <v>Tekuće pomoći proračunskim korisnicima gradskih proračuna temeljem prijenosa EU sredstava</v>
          </cell>
          <cell r="C819" t="str">
            <v>36813</v>
          </cell>
          <cell r="D819">
            <v>0</v>
          </cell>
          <cell r="E819">
            <v>0</v>
          </cell>
        </row>
        <row r="820">
          <cell r="A820" t="str">
            <v>36814</v>
          </cell>
          <cell r="B820" t="str">
            <v>Tekuće pomoći proračunskim korisnicima općinskih proračuna temeljem prijenosa EU sredstava</v>
          </cell>
          <cell r="C820" t="str">
            <v>36814</v>
          </cell>
          <cell r="D820">
            <v>0</v>
          </cell>
          <cell r="E820">
            <v>0</v>
          </cell>
        </row>
        <row r="821">
          <cell r="A821" t="str">
            <v>36815</v>
          </cell>
          <cell r="B821" t="str">
            <v>Tekuće pomoći županijskim proračunima temeljem prijenosa EU sredstava</v>
          </cell>
          <cell r="C821" t="str">
            <v>36815</v>
          </cell>
          <cell r="D821">
            <v>0</v>
          </cell>
          <cell r="E821">
            <v>0</v>
          </cell>
        </row>
        <row r="822">
          <cell r="A822" t="str">
            <v>36816</v>
          </cell>
          <cell r="B822" t="str">
            <v>Tekuće pomoći gradskim proračunima temeljem prijenosa EU sredstava</v>
          </cell>
          <cell r="C822" t="str">
            <v>36816</v>
          </cell>
          <cell r="D822">
            <v>0</v>
          </cell>
          <cell r="E822">
            <v>0</v>
          </cell>
        </row>
        <row r="823">
          <cell r="A823" t="str">
            <v>36817</v>
          </cell>
          <cell r="B823" t="str">
            <v>Tekuće pomoći općinskim proračunima temeljem prijenosa EU sredstava</v>
          </cell>
          <cell r="C823" t="str">
            <v>36817</v>
          </cell>
          <cell r="D823">
            <v>0</v>
          </cell>
          <cell r="E823">
            <v>0</v>
          </cell>
        </row>
        <row r="824">
          <cell r="A824" t="str">
            <v>36818</v>
          </cell>
          <cell r="B824" t="str">
            <v>Tekuće pomoći izvanproračunskim korisnicima državnog proračuna temeljem prijenosa EU sredstava</v>
          </cell>
          <cell r="C824" t="str">
            <v>36818</v>
          </cell>
          <cell r="D824">
            <v>0</v>
          </cell>
          <cell r="E824">
            <v>0</v>
          </cell>
        </row>
        <row r="825">
          <cell r="A825" t="str">
            <v>36819</v>
          </cell>
          <cell r="B825" t="str">
            <v>Tekuće pomoći izvanproračunskim korisnicima JLP(R)S temeljem prijenosa EU sredstava</v>
          </cell>
          <cell r="C825" t="str">
            <v>36819</v>
          </cell>
          <cell r="D825">
            <v>0</v>
          </cell>
          <cell r="E825">
            <v>0</v>
          </cell>
        </row>
        <row r="826">
          <cell r="A826" t="str">
            <v>36821</v>
          </cell>
          <cell r="B826" t="str">
            <v>Kapitalne pomoći proračunskim korisnicima državnog proračuna temeljem prijenosa EU sredstava</v>
          </cell>
          <cell r="C826" t="str">
            <v>36821</v>
          </cell>
          <cell r="D826">
            <v>0</v>
          </cell>
          <cell r="E826">
            <v>0</v>
          </cell>
        </row>
        <row r="827">
          <cell r="A827" t="str">
            <v>36822</v>
          </cell>
          <cell r="B827" t="str">
            <v>Kapitalne pomoći proračunskim korisnicima županijskih proračuna temeljem prijenosa EU sredstava</v>
          </cell>
          <cell r="C827" t="str">
            <v>36822</v>
          </cell>
          <cell r="D827">
            <v>0</v>
          </cell>
          <cell r="E827">
            <v>0</v>
          </cell>
        </row>
        <row r="828">
          <cell r="A828" t="str">
            <v>36823</v>
          </cell>
          <cell r="B828" t="str">
            <v>Kapitalne pomoći proračunskim korisnicima gradskih proračuna temeljem prijenosa EU sredstava</v>
          </cell>
          <cell r="C828" t="str">
            <v>36823</v>
          </cell>
          <cell r="D828">
            <v>0</v>
          </cell>
          <cell r="E828">
            <v>0</v>
          </cell>
        </row>
        <row r="829">
          <cell r="A829" t="str">
            <v>36824</v>
          </cell>
          <cell r="B829" t="str">
            <v>Kapitalne pomoći proračunskim korisnicima općinskih proračuna temeljem prijenosa EU sredstava</v>
          </cell>
          <cell r="C829" t="str">
            <v>36824</v>
          </cell>
          <cell r="D829">
            <v>0</v>
          </cell>
          <cell r="E829">
            <v>0</v>
          </cell>
        </row>
        <row r="830">
          <cell r="A830" t="str">
            <v>36825</v>
          </cell>
          <cell r="B830" t="str">
            <v>Kapitalne pomoći županijskim proračunima temeljem prijenosa EU sredstava</v>
          </cell>
          <cell r="C830" t="str">
            <v>36825</v>
          </cell>
          <cell r="D830">
            <v>0</v>
          </cell>
          <cell r="E830">
            <v>0</v>
          </cell>
        </row>
        <row r="831">
          <cell r="A831" t="str">
            <v>36826</v>
          </cell>
          <cell r="B831" t="str">
            <v>Kapitalne pomoći gradskim proračunima temeljem prijenosa EU sredstava</v>
          </cell>
          <cell r="C831" t="str">
            <v>36826</v>
          </cell>
          <cell r="D831">
            <v>0</v>
          </cell>
          <cell r="E831">
            <v>0</v>
          </cell>
        </row>
        <row r="832">
          <cell r="A832" t="str">
            <v>36827</v>
          </cell>
          <cell r="B832" t="str">
            <v>Kapitalne pomoći općinskim proračunima temeljem prijenosa EU sredstava</v>
          </cell>
          <cell r="C832" t="str">
            <v>36827</v>
          </cell>
          <cell r="D832">
            <v>0</v>
          </cell>
          <cell r="E832">
            <v>0</v>
          </cell>
        </row>
        <row r="833">
          <cell r="A833" t="str">
            <v>36828</v>
          </cell>
          <cell r="B833" t="str">
            <v>Kapitalne pomoći izvanproračunskim korisnicima državnog proračuna temeljem prijenosa EU sredstava</v>
          </cell>
          <cell r="C833" t="str">
            <v>36828</v>
          </cell>
          <cell r="D833">
            <v>0</v>
          </cell>
          <cell r="E833">
            <v>0</v>
          </cell>
        </row>
        <row r="834">
          <cell r="A834" t="str">
            <v>36829</v>
          </cell>
          <cell r="B834" t="str">
            <v>Kapitalne pomoći izvanproračunskim korisnicima JLP(R)S temeljem prijenosa EU sredstava</v>
          </cell>
          <cell r="C834" t="str">
            <v>36829</v>
          </cell>
          <cell r="D834">
            <v>0</v>
          </cell>
          <cell r="E834">
            <v>0</v>
          </cell>
        </row>
        <row r="835">
          <cell r="A835" t="str">
            <v>37131</v>
          </cell>
          <cell r="B835" t="str">
            <v>Naknade za bolest i invaliditet</v>
          </cell>
          <cell r="C835" t="str">
            <v>37131</v>
          </cell>
          <cell r="D835">
            <v>0</v>
          </cell>
          <cell r="E835">
            <v>0</v>
          </cell>
        </row>
        <row r="836">
          <cell r="A836" t="str">
            <v>37132</v>
          </cell>
          <cell r="B836" t="str">
            <v>Naknade za zdravstvenu zaštitu u inozemstvu</v>
          </cell>
          <cell r="C836" t="str">
            <v>37132</v>
          </cell>
          <cell r="D836">
            <v>0</v>
          </cell>
          <cell r="E836">
            <v>0</v>
          </cell>
        </row>
        <row r="837">
          <cell r="A837" t="str">
            <v>37139</v>
          </cell>
          <cell r="B837" t="str">
            <v>Ostale naknade na temelju osiguranja u novcu</v>
          </cell>
          <cell r="C837" t="str">
            <v>37139</v>
          </cell>
          <cell r="D837">
            <v>0</v>
          </cell>
          <cell r="E837">
            <v>0</v>
          </cell>
        </row>
        <row r="838">
          <cell r="A838" t="str">
            <v>37141</v>
          </cell>
          <cell r="B838" t="str">
            <v xml:space="preserve">Medicinske (zdravstvene) usluge </v>
          </cell>
          <cell r="C838" t="str">
            <v>37141</v>
          </cell>
          <cell r="D838">
            <v>0</v>
          </cell>
          <cell r="E838">
            <v>0</v>
          </cell>
        </row>
        <row r="839">
          <cell r="A839" t="str">
            <v>37143</v>
          </cell>
          <cell r="B839" t="str">
            <v>Farmaceutski proizvodi</v>
          </cell>
          <cell r="C839" t="str">
            <v>37143</v>
          </cell>
          <cell r="D839">
            <v>0</v>
          </cell>
          <cell r="E839">
            <v>0</v>
          </cell>
        </row>
        <row r="840">
          <cell r="A840" t="str">
            <v>37144</v>
          </cell>
          <cell r="B840" t="str">
            <v>Pomoć i njega u kući</v>
          </cell>
          <cell r="C840" t="str">
            <v>37144</v>
          </cell>
          <cell r="D840">
            <v>0</v>
          </cell>
          <cell r="E840">
            <v>0</v>
          </cell>
        </row>
        <row r="841">
          <cell r="A841" t="str">
            <v>37149</v>
          </cell>
          <cell r="B841" t="str">
            <v>Ostale naknade na temelju osiguranja u naravi</v>
          </cell>
          <cell r="C841" t="str">
            <v>37149</v>
          </cell>
          <cell r="D841">
            <v>0</v>
          </cell>
          <cell r="E841">
            <v>0</v>
          </cell>
        </row>
        <row r="842">
          <cell r="A842" t="str">
            <v>37211</v>
          </cell>
          <cell r="B842" t="str">
            <v>Naknade za dječji doplatak</v>
          </cell>
          <cell r="C842" t="str">
            <v>37211</v>
          </cell>
          <cell r="D842">
            <v>0</v>
          </cell>
          <cell r="E842">
            <v>0</v>
          </cell>
        </row>
        <row r="843">
          <cell r="A843" t="str">
            <v>37212</v>
          </cell>
          <cell r="B843" t="str">
            <v>Pomoć obiteljima i kućanstvima</v>
          </cell>
          <cell r="C843" t="str">
            <v>37212</v>
          </cell>
          <cell r="D843">
            <v>0</v>
          </cell>
          <cell r="E843">
            <v>0</v>
          </cell>
        </row>
        <row r="844">
          <cell r="A844" t="str">
            <v>37213</v>
          </cell>
          <cell r="B844" t="str">
            <v>Pomoć osobama s invaliditetom</v>
          </cell>
          <cell r="C844" t="str">
            <v>37213</v>
          </cell>
          <cell r="D844">
            <v>0</v>
          </cell>
          <cell r="E844">
            <v>0</v>
          </cell>
        </row>
        <row r="845">
          <cell r="A845" t="str">
            <v>37214</v>
          </cell>
          <cell r="B845" t="str">
            <v>Naknade za mirovine i dodatke - posebni propis</v>
          </cell>
          <cell r="C845" t="str">
            <v>37214</v>
          </cell>
          <cell r="D845">
            <v>0</v>
          </cell>
          <cell r="E845">
            <v>0</v>
          </cell>
        </row>
        <row r="846">
          <cell r="A846">
            <v>37215</v>
          </cell>
          <cell r="B846" t="str">
            <v>Stipendije i školarine</v>
          </cell>
          <cell r="C846" t="str">
            <v>37215</v>
          </cell>
          <cell r="D846">
            <v>0</v>
          </cell>
          <cell r="E846">
            <v>0</v>
          </cell>
        </row>
        <row r="847">
          <cell r="A847">
            <v>37216</v>
          </cell>
          <cell r="B847" t="str">
            <v>Naknade za pomoć bivšim političkim zatvorenicima i neosnovano pritvorenim osobama</v>
          </cell>
          <cell r="C847" t="str">
            <v>37216</v>
          </cell>
          <cell r="D847">
            <v>0</v>
          </cell>
          <cell r="E847">
            <v>0</v>
          </cell>
        </row>
        <row r="848">
          <cell r="A848">
            <v>37217</v>
          </cell>
          <cell r="B848" t="str">
            <v>Porodiljne naknade i oprema za novorođenčad</v>
          </cell>
          <cell r="C848" t="str">
            <v>37217</v>
          </cell>
          <cell r="D848">
            <v>0</v>
          </cell>
          <cell r="E848">
            <v>0</v>
          </cell>
        </row>
        <row r="849">
          <cell r="A849">
            <v>37218</v>
          </cell>
          <cell r="B849" t="str">
            <v>Pomoć nezaposlenim osobama</v>
          </cell>
          <cell r="C849" t="str">
            <v>37218</v>
          </cell>
          <cell r="D849">
            <v>0</v>
          </cell>
          <cell r="E849">
            <v>0</v>
          </cell>
        </row>
        <row r="850">
          <cell r="A850">
            <v>37219</v>
          </cell>
          <cell r="B850" t="str">
            <v>Ostale naknade iz proračuna u novcu</v>
          </cell>
          <cell r="C850" t="str">
            <v>37219</v>
          </cell>
          <cell r="D850">
            <v>0</v>
          </cell>
          <cell r="E850">
            <v>0</v>
          </cell>
        </row>
        <row r="851">
          <cell r="A851">
            <v>37221</v>
          </cell>
          <cell r="B851" t="str">
            <v>Sufinanciranje cijene prijevoza</v>
          </cell>
          <cell r="C851" t="str">
            <v>37221</v>
          </cell>
          <cell r="D851">
            <v>0</v>
          </cell>
          <cell r="E851">
            <v>0</v>
          </cell>
        </row>
        <row r="852">
          <cell r="A852" t="str">
            <v>37222</v>
          </cell>
          <cell r="B852" t="str">
            <v>Pomoć i njega u kući</v>
          </cell>
          <cell r="C852" t="str">
            <v>37222</v>
          </cell>
          <cell r="D852">
            <v>0</v>
          </cell>
          <cell r="E852">
            <v>0</v>
          </cell>
        </row>
        <row r="853">
          <cell r="A853" t="str">
            <v>37223</v>
          </cell>
          <cell r="B853" t="str">
            <v>Stanovanje</v>
          </cell>
          <cell r="C853" t="str">
            <v>37223</v>
          </cell>
          <cell r="D853">
            <v>0</v>
          </cell>
          <cell r="E853">
            <v>0</v>
          </cell>
        </row>
        <row r="854">
          <cell r="A854" t="str">
            <v>37224</v>
          </cell>
          <cell r="B854" t="str">
            <v>Prehrana</v>
          </cell>
          <cell r="C854" t="str">
            <v>37224</v>
          </cell>
          <cell r="D854">
            <v>0</v>
          </cell>
          <cell r="E854">
            <v>0</v>
          </cell>
        </row>
        <row r="855">
          <cell r="A855" t="str">
            <v>37229</v>
          </cell>
          <cell r="B855" t="str">
            <v>Ostale naknade iz proračuna u naravi</v>
          </cell>
          <cell r="C855" t="str">
            <v>37229</v>
          </cell>
          <cell r="D855">
            <v>0</v>
          </cell>
          <cell r="E855">
            <v>0</v>
          </cell>
        </row>
        <row r="856">
          <cell r="A856">
            <v>38117</v>
          </cell>
          <cell r="B856" t="str">
            <v>Tekuće donacije građanima i kućanstvima</v>
          </cell>
          <cell r="C856" t="str">
            <v>38117</v>
          </cell>
          <cell r="D856">
            <v>0</v>
          </cell>
          <cell r="E856">
            <v>0</v>
          </cell>
        </row>
        <row r="857">
          <cell r="A857">
            <v>38612</v>
          </cell>
          <cell r="B857" t="str">
            <v>Kapitalne pomoći trgovačkim društvima u javnom sektoru</v>
          </cell>
          <cell r="C857" t="str">
            <v>38612</v>
          </cell>
          <cell r="D857">
            <v>0</v>
          </cell>
          <cell r="E857">
            <v>0</v>
          </cell>
        </row>
        <row r="858">
          <cell r="A858">
            <v>38613</v>
          </cell>
          <cell r="B858" t="str">
            <v>Kapitalne pomoći kreditnim institucijama u javnom sektoru</v>
          </cell>
          <cell r="C858" t="str">
            <v>38613</v>
          </cell>
          <cell r="D858">
            <v>0</v>
          </cell>
          <cell r="E858">
            <v>0</v>
          </cell>
        </row>
        <row r="859">
          <cell r="A859">
            <v>38614</v>
          </cell>
          <cell r="B859" t="str">
            <v>Kapitalne pomoći osiguravajućim društvima u javnom sektoru</v>
          </cell>
          <cell r="C859" t="str">
            <v>38614</v>
          </cell>
          <cell r="D859">
            <v>0</v>
          </cell>
          <cell r="E859">
            <v>0</v>
          </cell>
        </row>
        <row r="860">
          <cell r="A860">
            <v>38615</v>
          </cell>
          <cell r="B860" t="str">
            <v>Kapitalne pomoći ostalim financijskim institucijama u javnom sektoru</v>
          </cell>
          <cell r="C860" t="str">
            <v>38615</v>
          </cell>
          <cell r="D860">
            <v>0</v>
          </cell>
          <cell r="E860">
            <v>0</v>
          </cell>
        </row>
        <row r="861">
          <cell r="A861">
            <v>38622</v>
          </cell>
          <cell r="B861" t="str">
            <v>Kapitalne pomoći trgovačkim društvima izvan javnog sektora</v>
          </cell>
          <cell r="C861" t="str">
            <v>38622</v>
          </cell>
          <cell r="D861">
            <v>0</v>
          </cell>
          <cell r="E861">
            <v>0</v>
          </cell>
        </row>
        <row r="862">
          <cell r="A862">
            <v>38623</v>
          </cell>
          <cell r="B862" t="str">
            <v>Kapitalne pomoći kreditnim institucijama izvan javnog sektora</v>
          </cell>
          <cell r="C862" t="str">
            <v>38623</v>
          </cell>
          <cell r="D862">
            <v>0</v>
          </cell>
          <cell r="E862">
            <v>0</v>
          </cell>
        </row>
        <row r="863">
          <cell r="A863">
            <v>38624</v>
          </cell>
          <cell r="B863" t="str">
            <v>Kapitalne pomoći osiguravajućim društvima izvan javnog sektora</v>
          </cell>
          <cell r="C863" t="str">
            <v>38624</v>
          </cell>
          <cell r="D863">
            <v>0</v>
          </cell>
          <cell r="E863">
            <v>0</v>
          </cell>
        </row>
        <row r="864">
          <cell r="A864">
            <v>38625</v>
          </cell>
          <cell r="B864" t="str">
            <v>Kapitalne pomoći ostalim financijskim institucijama izvan javnog sektora</v>
          </cell>
          <cell r="C864" t="str">
            <v>38625</v>
          </cell>
          <cell r="D864">
            <v>0</v>
          </cell>
          <cell r="E864">
            <v>0</v>
          </cell>
        </row>
        <row r="865">
          <cell r="A865" t="str">
            <v>38626</v>
          </cell>
          <cell r="B865" t="str">
            <v>Kapitalne pomoći zadrugama</v>
          </cell>
          <cell r="C865" t="str">
            <v>38626</v>
          </cell>
          <cell r="D865">
            <v>0</v>
          </cell>
          <cell r="E865">
            <v>0</v>
          </cell>
        </row>
        <row r="866">
          <cell r="A866">
            <v>38631</v>
          </cell>
          <cell r="B866" t="str">
            <v>Kapitalne pomoći poljoprivrednicima</v>
          </cell>
          <cell r="C866" t="str">
            <v>38631</v>
          </cell>
          <cell r="D866">
            <v>0</v>
          </cell>
          <cell r="E866">
            <v>0</v>
          </cell>
        </row>
        <row r="867">
          <cell r="A867">
            <v>38632</v>
          </cell>
          <cell r="B867" t="str">
            <v>Kapitalne pomoći obrtnicima</v>
          </cell>
          <cell r="C867" t="str">
            <v>38632</v>
          </cell>
          <cell r="D867">
            <v>0</v>
          </cell>
          <cell r="E867">
            <v>0</v>
          </cell>
        </row>
        <row r="868">
          <cell r="A868">
            <v>38641</v>
          </cell>
          <cell r="B868" t="str">
            <v xml:space="preserve">Kapitalne pomoći subjektima u javnom sektoru iz EU sredstava </v>
          </cell>
          <cell r="C868" t="str">
            <v>38641</v>
          </cell>
          <cell r="D868">
            <v>0</v>
          </cell>
          <cell r="E868">
            <v>0</v>
          </cell>
        </row>
        <row r="869">
          <cell r="A869" t="str">
            <v>38642</v>
          </cell>
          <cell r="B869" t="str">
            <v xml:space="preserve">Kapitalne pomoći subjektima izvan javnog sektora iz EU sredstava </v>
          </cell>
          <cell r="C869" t="str">
            <v>38642</v>
          </cell>
          <cell r="D869">
            <v>0</v>
          </cell>
          <cell r="E869">
            <v>0</v>
          </cell>
        </row>
        <row r="870">
          <cell r="A870" t="str">
            <v>38651</v>
          </cell>
          <cell r="B870" t="str">
            <v>Kapitalne pomoći trgovačkim društvima u javnom sektoru po protestiranim jamstvima</v>
          </cell>
          <cell r="C870" t="str">
            <v>38651</v>
          </cell>
          <cell r="D870">
            <v>0</v>
          </cell>
          <cell r="E870">
            <v>0</v>
          </cell>
        </row>
        <row r="871">
          <cell r="A871" t="str">
            <v>38652</v>
          </cell>
          <cell r="B871" t="str">
            <v>Kapitalne pomoći tuzemnim trgovačkim društvima izvan javnog sektora po protestiranim jamstvima</v>
          </cell>
          <cell r="C871" t="str">
            <v>38652</v>
          </cell>
          <cell r="D871">
            <v>0</v>
          </cell>
          <cell r="E871">
            <v>0</v>
          </cell>
        </row>
        <row r="872">
          <cell r="A872" t="str">
            <v>38653</v>
          </cell>
          <cell r="B872" t="str">
            <v>Kapitalne pomoći tuzemnim obrtnicima po protestiranim jamstvima</v>
          </cell>
          <cell r="C872" t="str">
            <v>38653</v>
          </cell>
          <cell r="D872">
            <v>0</v>
          </cell>
          <cell r="E872">
            <v>0</v>
          </cell>
        </row>
        <row r="873">
          <cell r="A873">
            <v>81212</v>
          </cell>
          <cell r="B873" t="str">
            <v>Povrat zajmova danih neprofitnim organizacijama, građanima i kućanstvima u tuzemstvu – dugoročni</v>
          </cell>
          <cell r="C873" t="str">
            <v>81212</v>
          </cell>
          <cell r="D873">
            <v>0</v>
          </cell>
          <cell r="E873">
            <v>0</v>
          </cell>
        </row>
        <row r="874">
          <cell r="A874">
            <v>81322</v>
          </cell>
          <cell r="B874" t="str">
            <v>Povrat zajmova danih kreditnim institucijama u javnom sektoru – dugoročni</v>
          </cell>
          <cell r="C874" t="str">
            <v>81322</v>
          </cell>
          <cell r="D874">
            <v>0</v>
          </cell>
          <cell r="E874">
            <v>0</v>
          </cell>
        </row>
        <row r="875">
          <cell r="A875">
            <v>81332</v>
          </cell>
          <cell r="B875" t="str">
            <v>Povrat zajmova danih osiguravajućim društvima u javnom sektoru – dugoročni</v>
          </cell>
          <cell r="C875" t="str">
            <v>81332</v>
          </cell>
          <cell r="D875">
            <v>0</v>
          </cell>
          <cell r="E875">
            <v>0</v>
          </cell>
        </row>
        <row r="876">
          <cell r="A876">
            <v>81342</v>
          </cell>
          <cell r="B876" t="str">
            <v>Povrat zajmova danih ostalim financijskim institucijama u javnom sektoru – dugoročni</v>
          </cell>
          <cell r="C876" t="str">
            <v>81342</v>
          </cell>
          <cell r="D876">
            <v>0</v>
          </cell>
          <cell r="E876">
            <v>0</v>
          </cell>
        </row>
        <row r="877">
          <cell r="A877">
            <v>81411</v>
          </cell>
          <cell r="B877" t="str">
            <v>Povrat zajmova danih trgovačkim društvima u javnom sektoru – kratkoročni</v>
          </cell>
          <cell r="C877" t="str">
            <v>81411</v>
          </cell>
          <cell r="D877">
            <v>0</v>
          </cell>
          <cell r="E877">
            <v>0</v>
          </cell>
        </row>
        <row r="878">
          <cell r="A878">
            <v>81412</v>
          </cell>
          <cell r="B878" t="str">
            <v>Povrat zajmova danih trgovačkim društvima u javnom sektoru – dugoročni</v>
          </cell>
          <cell r="C878" t="str">
            <v>81412</v>
          </cell>
          <cell r="D878">
            <v>0</v>
          </cell>
          <cell r="E878">
            <v>0</v>
          </cell>
        </row>
        <row r="879">
          <cell r="A879">
            <v>81532</v>
          </cell>
          <cell r="B879" t="str">
            <v>Povrat zajmova danih tuzemnim kreditnim institucijama izvan javnog sektora – dugoročni</v>
          </cell>
          <cell r="C879" t="str">
            <v>81532</v>
          </cell>
          <cell r="D879">
            <v>0</v>
          </cell>
          <cell r="E879">
            <v>0</v>
          </cell>
        </row>
        <row r="880">
          <cell r="A880">
            <v>81542</v>
          </cell>
          <cell r="B880" t="str">
            <v>Povrat zajmova danih tuzemnim osiguravajućim društvima izvan javnog sektora – dugoročni</v>
          </cell>
          <cell r="C880" t="str">
            <v>81542</v>
          </cell>
          <cell r="D880">
            <v>0</v>
          </cell>
          <cell r="E880">
            <v>0</v>
          </cell>
        </row>
        <row r="881">
          <cell r="A881">
            <v>81552</v>
          </cell>
          <cell r="B881" t="str">
            <v>Povrat zajmova danih ostalim tuzemnim financijskim institucijama izvan javnog sektora - dugoročni</v>
          </cell>
          <cell r="C881" t="str">
            <v>81552</v>
          </cell>
          <cell r="D881">
            <v>0</v>
          </cell>
          <cell r="E881">
            <v>0</v>
          </cell>
        </row>
        <row r="882">
          <cell r="A882">
            <v>81631</v>
          </cell>
          <cell r="B882" t="str">
            <v>Povrat zajmova danih tuzemnim trgovačkim društvima izvan javnog sektora - kratkoročni</v>
          </cell>
          <cell r="C882" t="str">
            <v>81631</v>
          </cell>
          <cell r="D882">
            <v>0</v>
          </cell>
          <cell r="E882">
            <v>0</v>
          </cell>
        </row>
        <row r="883">
          <cell r="A883">
            <v>81632</v>
          </cell>
          <cell r="B883" t="str">
            <v>Povrat zajmova danih tuzemnim trgovačkim društvima izvan javnog sektora - dugoročni</v>
          </cell>
          <cell r="C883" t="str">
            <v>81632</v>
          </cell>
          <cell r="D883">
            <v>0</v>
          </cell>
          <cell r="E883">
            <v>0</v>
          </cell>
        </row>
        <row r="884">
          <cell r="A884">
            <v>81641</v>
          </cell>
          <cell r="B884" t="str">
            <v>Povrat zajmova danih tuzemnim obrtnicima - kratkoročni</v>
          </cell>
          <cell r="C884" t="str">
            <v>81641</v>
          </cell>
          <cell r="D884">
            <v>0</v>
          </cell>
          <cell r="E884">
            <v>0</v>
          </cell>
        </row>
        <row r="885">
          <cell r="A885">
            <v>81642</v>
          </cell>
          <cell r="B885" t="str">
            <v>Povrat zajmova danih tuzemnim obrtnicima - dugoročni</v>
          </cell>
          <cell r="C885" t="str">
            <v>81642</v>
          </cell>
          <cell r="D885">
            <v>0</v>
          </cell>
          <cell r="E885">
            <v>0</v>
          </cell>
        </row>
        <row r="886">
          <cell r="A886">
            <v>81711</v>
          </cell>
          <cell r="B886" t="str">
            <v>Povrat zajmova danih državnom proračunu - kratkoročni</v>
          </cell>
          <cell r="C886" t="str">
            <v>81711</v>
          </cell>
          <cell r="D886">
            <v>0</v>
          </cell>
          <cell r="E886">
            <v>0</v>
          </cell>
        </row>
        <row r="887">
          <cell r="A887">
            <v>81712</v>
          </cell>
          <cell r="B887" t="str">
            <v>Povrat zajmova danih državnom proračunu - dugoročni</v>
          </cell>
          <cell r="C887" t="str">
            <v>81712</v>
          </cell>
          <cell r="D887">
            <v>0</v>
          </cell>
          <cell r="E887">
            <v>0</v>
          </cell>
        </row>
        <row r="888">
          <cell r="A888">
            <v>81721</v>
          </cell>
          <cell r="B888" t="str">
            <v>Povrat zajmova danih županijskim proračunima - kratkoročni</v>
          </cell>
          <cell r="C888" t="str">
            <v>81721</v>
          </cell>
          <cell r="D888">
            <v>0</v>
          </cell>
          <cell r="E888">
            <v>0</v>
          </cell>
        </row>
        <row r="889">
          <cell r="A889">
            <v>81722</v>
          </cell>
          <cell r="B889" t="str">
            <v>Povrat zajmova danih županijskim proračunima - dugoročni</v>
          </cell>
          <cell r="C889" t="str">
            <v>81722</v>
          </cell>
          <cell r="D889">
            <v>0</v>
          </cell>
          <cell r="E889">
            <v>0</v>
          </cell>
        </row>
        <row r="890">
          <cell r="A890">
            <v>81731</v>
          </cell>
          <cell r="B890" t="str">
            <v>Povrat zajmova danih gradskim proračunima - kratkoročni</v>
          </cell>
          <cell r="C890" t="str">
            <v>81731</v>
          </cell>
          <cell r="D890">
            <v>0</v>
          </cell>
          <cell r="E890">
            <v>0</v>
          </cell>
        </row>
        <row r="891">
          <cell r="A891">
            <v>81732</v>
          </cell>
          <cell r="B891" t="str">
            <v>Povrat zajmova danih gradskim proračunima - dugoročni</v>
          </cell>
          <cell r="C891" t="str">
            <v>81732</v>
          </cell>
          <cell r="D891">
            <v>0</v>
          </cell>
          <cell r="E891">
            <v>0</v>
          </cell>
        </row>
        <row r="892">
          <cell r="A892">
            <v>81741</v>
          </cell>
          <cell r="B892" t="str">
            <v>Povrat zajmova danih općinskim proračunima - kratkoročni</v>
          </cell>
          <cell r="C892" t="str">
            <v>81741</v>
          </cell>
          <cell r="D892">
            <v>0</v>
          </cell>
          <cell r="E892">
            <v>0</v>
          </cell>
        </row>
        <row r="893">
          <cell r="A893">
            <v>81742</v>
          </cell>
          <cell r="B893" t="str">
            <v>Povrat zajmova danih općinskim proračunima - dugoročni</v>
          </cell>
          <cell r="C893" t="str">
            <v>81742</v>
          </cell>
          <cell r="D893">
            <v>0</v>
          </cell>
          <cell r="E893">
            <v>0</v>
          </cell>
        </row>
        <row r="894">
          <cell r="A894">
            <v>81751</v>
          </cell>
          <cell r="B894" t="str">
            <v>Povrat zajmova danih HZMO-u, HZZ-u i HZZO-u - kratkoročni</v>
          </cell>
          <cell r="C894" t="str">
            <v>81751</v>
          </cell>
          <cell r="D894">
            <v>0</v>
          </cell>
          <cell r="E894">
            <v>0</v>
          </cell>
        </row>
        <row r="895">
          <cell r="A895">
            <v>81752</v>
          </cell>
          <cell r="B895" t="str">
            <v>Povrat zajmova danih HZMO-u, HZZ-u i HZZO-u - dugoročni</v>
          </cell>
          <cell r="C895" t="str">
            <v>81752</v>
          </cell>
          <cell r="D895">
            <v>0</v>
          </cell>
          <cell r="E895">
            <v>0</v>
          </cell>
        </row>
        <row r="896">
          <cell r="A896">
            <v>81761</v>
          </cell>
          <cell r="B896" t="str">
            <v>Povrat zajmova danih ostalim izvanproračunskim korisnicima državnog proračuna - kratkoročni</v>
          </cell>
          <cell r="C896" t="str">
            <v>81761</v>
          </cell>
          <cell r="D896">
            <v>0</v>
          </cell>
          <cell r="E896">
            <v>0</v>
          </cell>
        </row>
        <row r="897">
          <cell r="A897">
            <v>81762</v>
          </cell>
          <cell r="B897" t="str">
            <v>Povrat zajmova danih ostalim izvanproračunskim korisnicima državnog proračuna - dugoročni</v>
          </cell>
          <cell r="C897" t="str">
            <v>81762</v>
          </cell>
          <cell r="D897">
            <v>0</v>
          </cell>
          <cell r="E897">
            <v>0</v>
          </cell>
        </row>
        <row r="898">
          <cell r="A898">
            <v>81771</v>
          </cell>
          <cell r="B898" t="str">
            <v>Povrat zajmova danih izvanproračunskim korisnicima JLP(R)S - kratkoročni</v>
          </cell>
          <cell r="C898" t="str">
            <v>81771</v>
          </cell>
          <cell r="D898">
            <v>0</v>
          </cell>
          <cell r="E898">
            <v>0</v>
          </cell>
        </row>
        <row r="899">
          <cell r="A899">
            <v>81772</v>
          </cell>
          <cell r="B899" t="str">
            <v>Povrat zajmova danih izvanproračunskim korisnicima JLP(R)S - dugoročni</v>
          </cell>
          <cell r="C899" t="str">
            <v>81772</v>
          </cell>
          <cell r="D899">
            <v>0</v>
          </cell>
          <cell r="E899">
            <v>0</v>
          </cell>
        </row>
        <row r="900">
          <cell r="A900">
            <v>82412</v>
          </cell>
          <cell r="B900" t="str">
            <v>Ostali vrijednosni papiri - tuzemni - dugoročni</v>
          </cell>
          <cell r="C900" t="str">
            <v>82412</v>
          </cell>
          <cell r="D900">
            <v>0</v>
          </cell>
          <cell r="E900">
            <v>0</v>
          </cell>
        </row>
        <row r="901">
          <cell r="A901">
            <v>84132</v>
          </cell>
          <cell r="B901" t="str">
            <v>Primljeni zajmovi od međunarodnih organizacija - dugoročni</v>
          </cell>
          <cell r="C901" t="str">
            <v>84132</v>
          </cell>
          <cell r="D901">
            <v>0</v>
          </cell>
          <cell r="E901">
            <v>0</v>
          </cell>
        </row>
        <row r="902">
          <cell r="A902">
            <v>84142</v>
          </cell>
          <cell r="B902" t="str">
            <v>Primljeni krediti i zajmovi od institucija i tijela EU - dugoročni</v>
          </cell>
          <cell r="C902" t="str">
            <v>84142</v>
          </cell>
          <cell r="D902">
            <v>0</v>
          </cell>
          <cell r="E902">
            <v>0</v>
          </cell>
        </row>
        <row r="903">
          <cell r="A903">
            <v>84152</v>
          </cell>
          <cell r="B903" t="str">
            <v>Primljeni zajmovi od inozemnih vlada u EU - dugoročni</v>
          </cell>
          <cell r="C903" t="str">
            <v>84152</v>
          </cell>
          <cell r="D903">
            <v>0</v>
          </cell>
          <cell r="E903">
            <v>0</v>
          </cell>
        </row>
        <row r="904">
          <cell r="A904">
            <v>84162</v>
          </cell>
          <cell r="B904" t="str">
            <v>Primljeni zajmovi od inozemnih vlada izvan EU - dugoročni</v>
          </cell>
          <cell r="C904" t="str">
            <v>84162</v>
          </cell>
          <cell r="D904">
            <v>0</v>
          </cell>
          <cell r="E904">
            <v>0</v>
          </cell>
        </row>
        <row r="905">
          <cell r="A905">
            <v>84221</v>
          </cell>
          <cell r="B905" t="str">
            <v>Primljeni krediti od kreditnih institucija u javnom sektoru - kratkoročni</v>
          </cell>
          <cell r="C905" t="str">
            <v>84221</v>
          </cell>
          <cell r="D905">
            <v>0</v>
          </cell>
          <cell r="E905">
            <v>0</v>
          </cell>
        </row>
        <row r="906">
          <cell r="A906">
            <v>84222</v>
          </cell>
          <cell r="B906" t="str">
            <v>Primljeni krediti od kreditnih institucija u javnom sektoru - dugoročni</v>
          </cell>
          <cell r="C906" t="str">
            <v>84222</v>
          </cell>
          <cell r="D906">
            <v>0</v>
          </cell>
          <cell r="E906">
            <v>0</v>
          </cell>
        </row>
        <row r="907">
          <cell r="A907" t="str">
            <v>84223</v>
          </cell>
          <cell r="B907" t="str">
            <v>Primljeni financijski najam od kreditnih institucija u javnom sektoru</v>
          </cell>
          <cell r="C907" t="str">
            <v>84223</v>
          </cell>
          <cell r="D907">
            <v>0</v>
          </cell>
          <cell r="E907">
            <v>0</v>
          </cell>
        </row>
        <row r="908">
          <cell r="A908">
            <v>84232</v>
          </cell>
          <cell r="B908" t="str">
            <v>Primljeni zajmovi od osiguravajućih društava u javnom sektoru - dugoročni</v>
          </cell>
          <cell r="C908" t="str">
            <v>84232</v>
          </cell>
          <cell r="D908">
            <v>0</v>
          </cell>
          <cell r="E908">
            <v>0</v>
          </cell>
        </row>
        <row r="909">
          <cell r="A909">
            <v>84242</v>
          </cell>
          <cell r="B909" t="str">
            <v>Primljeni zajmovi od ostalih financijskih institucija u javnom sektoru - dugoročni</v>
          </cell>
          <cell r="C909" t="str">
            <v>84242</v>
          </cell>
          <cell r="D909">
            <v>0</v>
          </cell>
          <cell r="E909">
            <v>0</v>
          </cell>
        </row>
        <row r="910">
          <cell r="A910" t="str">
            <v>84243</v>
          </cell>
          <cell r="B910" t="str">
            <v>Primljeni financijski najam od ostalih financijskih institucija u javnom sektoru</v>
          </cell>
          <cell r="C910" t="str">
            <v>84243</v>
          </cell>
          <cell r="D910">
            <v>0</v>
          </cell>
          <cell r="E910">
            <v>0</v>
          </cell>
        </row>
        <row r="911">
          <cell r="A911">
            <v>84312</v>
          </cell>
          <cell r="B911" t="str">
            <v>Primljeni zajmovi od trgovačkih društava u javnom sektoru - dugoročni</v>
          </cell>
          <cell r="C911" t="str">
            <v>84312</v>
          </cell>
          <cell r="D911">
            <v>0</v>
          </cell>
          <cell r="E911">
            <v>0</v>
          </cell>
        </row>
        <row r="912">
          <cell r="A912">
            <v>84431</v>
          </cell>
          <cell r="B912" t="str">
            <v>Primljeni krediti od tuzemnih kreditnih institucija izvan javnog sektora - kratkoročni</v>
          </cell>
          <cell r="C912" t="str">
            <v>84431</v>
          </cell>
          <cell r="D912">
            <v>0</v>
          </cell>
          <cell r="E912">
            <v>0</v>
          </cell>
        </row>
        <row r="913">
          <cell r="A913">
            <v>84432</v>
          </cell>
          <cell r="B913" t="str">
            <v>Primljeni krediti od tuzemnih kreditnih institucija izvan javnog sektora - dugoročni</v>
          </cell>
          <cell r="C913" t="str">
            <v>84432</v>
          </cell>
          <cell r="D913">
            <v>0</v>
          </cell>
          <cell r="E913">
            <v>0</v>
          </cell>
        </row>
        <row r="914">
          <cell r="A914" t="str">
            <v>84433</v>
          </cell>
          <cell r="B914" t="str">
            <v>Primljeni financijski najam od tuzemnih kreditnih institucija izvan javnog sektora</v>
          </cell>
          <cell r="C914" t="str">
            <v>84433</v>
          </cell>
          <cell r="D914">
            <v>0</v>
          </cell>
          <cell r="E914">
            <v>0</v>
          </cell>
        </row>
        <row r="915">
          <cell r="A915">
            <v>84442</v>
          </cell>
          <cell r="B915" t="str">
            <v>Primljeni zajmovi od tuzemnih osiguravajućih društava izvan javnog sektora - dugoročni</v>
          </cell>
          <cell r="C915" t="str">
            <v>84442</v>
          </cell>
          <cell r="D915">
            <v>0</v>
          </cell>
          <cell r="E915">
            <v>0</v>
          </cell>
        </row>
        <row r="916">
          <cell r="A916">
            <v>84452</v>
          </cell>
          <cell r="B916" t="str">
            <v>Primljeni zajmovi od ostalih tuzemnih financijskih institucija izvan javnog sektora - dugoročni</v>
          </cell>
          <cell r="C916" t="str">
            <v>84452</v>
          </cell>
          <cell r="D916">
            <v>0</v>
          </cell>
          <cell r="E916">
            <v>0</v>
          </cell>
        </row>
        <row r="917">
          <cell r="A917" t="str">
            <v>84453</v>
          </cell>
          <cell r="B917" t="str">
            <v>Primljeni financijski najam od ostalih tuzemnih financijskih institucija izvan javnog sektora</v>
          </cell>
          <cell r="C917" t="str">
            <v>84453</v>
          </cell>
          <cell r="D917">
            <v>0</v>
          </cell>
          <cell r="E917">
            <v>0</v>
          </cell>
        </row>
        <row r="918">
          <cell r="A918">
            <v>84461</v>
          </cell>
          <cell r="B918" t="str">
            <v>Primljeni krediti od inozemnih kreditnih institucija - kratkoročni</v>
          </cell>
          <cell r="C918" t="str">
            <v>84461</v>
          </cell>
          <cell r="D918">
            <v>0</v>
          </cell>
          <cell r="E918">
            <v>0</v>
          </cell>
        </row>
        <row r="919">
          <cell r="A919">
            <v>84462</v>
          </cell>
          <cell r="B919" t="str">
            <v>Primljeni krediti od inozemnih kreditnih institucija - dugoročni</v>
          </cell>
          <cell r="C919" t="str">
            <v>84462</v>
          </cell>
          <cell r="D919">
            <v>0</v>
          </cell>
          <cell r="E919">
            <v>0</v>
          </cell>
        </row>
        <row r="920">
          <cell r="A920" t="str">
            <v>84463</v>
          </cell>
          <cell r="B920" t="str">
            <v>Primljeni financijski najam od inozemnih kreditnih institucija</v>
          </cell>
          <cell r="C920" t="str">
            <v>84463</v>
          </cell>
          <cell r="D920">
            <v>0</v>
          </cell>
          <cell r="E920">
            <v>0</v>
          </cell>
        </row>
        <row r="921">
          <cell r="A921">
            <v>84472</v>
          </cell>
          <cell r="B921" t="str">
            <v>Primljeni zajmovi od inozemnih osiguravajućih društava - dugoročni</v>
          </cell>
          <cell r="C921" t="str">
            <v>84472</v>
          </cell>
          <cell r="D921">
            <v>0</v>
          </cell>
          <cell r="E921">
            <v>0</v>
          </cell>
        </row>
        <row r="922">
          <cell r="A922">
            <v>84482</v>
          </cell>
          <cell r="B922" t="str">
            <v>Primljeni zajmovi od ostalih inozemnih financijskih institucija - dugoročni</v>
          </cell>
          <cell r="C922" t="str">
            <v>84482</v>
          </cell>
          <cell r="D922">
            <v>0</v>
          </cell>
          <cell r="E922">
            <v>0</v>
          </cell>
        </row>
        <row r="923">
          <cell r="A923" t="str">
            <v>84483</v>
          </cell>
          <cell r="B923" t="str">
            <v>Primljeni financijski najam od ostalih inozemnih financijskih institucija</v>
          </cell>
          <cell r="C923" t="str">
            <v>84483</v>
          </cell>
          <cell r="D923">
            <v>0</v>
          </cell>
          <cell r="E923">
            <v>0</v>
          </cell>
        </row>
        <row r="924">
          <cell r="A924">
            <v>84532</v>
          </cell>
          <cell r="B924" t="str">
            <v>Primljeni zajmovi od tuzemnih trgovačkih društava izvan javnog sektora - dugoročni</v>
          </cell>
          <cell r="C924" t="str">
            <v>84532</v>
          </cell>
          <cell r="D924">
            <v>0</v>
          </cell>
          <cell r="E924">
            <v>0</v>
          </cell>
        </row>
        <row r="925">
          <cell r="A925">
            <v>84542</v>
          </cell>
          <cell r="B925" t="str">
            <v>Primljeni zajmovi od tuzemnih obrtnika - dugoročni</v>
          </cell>
          <cell r="C925" t="str">
            <v>84542</v>
          </cell>
          <cell r="D925">
            <v>0</v>
          </cell>
          <cell r="E925">
            <v>0</v>
          </cell>
        </row>
        <row r="926">
          <cell r="A926">
            <v>84552</v>
          </cell>
          <cell r="B926" t="str">
            <v>Primljeni zajmovi od inozemnih trgovačkih društava - dugoročni</v>
          </cell>
          <cell r="C926" t="str">
            <v>84552</v>
          </cell>
          <cell r="D926">
            <v>0</v>
          </cell>
          <cell r="E926">
            <v>0</v>
          </cell>
        </row>
        <row r="927">
          <cell r="A927">
            <v>84711</v>
          </cell>
          <cell r="B927" t="str">
            <v>Primljeni zajmovi od državnog proračuna - kratkoročni</v>
          </cell>
          <cell r="C927" t="str">
            <v>84711</v>
          </cell>
          <cell r="D927">
            <v>0</v>
          </cell>
          <cell r="E927">
            <v>0</v>
          </cell>
        </row>
        <row r="928">
          <cell r="A928">
            <v>84712</v>
          </cell>
          <cell r="B928" t="str">
            <v>Primljeni zajmovi od državnog proračuna - dugoročni</v>
          </cell>
          <cell r="C928" t="str">
            <v>84712</v>
          </cell>
          <cell r="D928">
            <v>0</v>
          </cell>
          <cell r="E928">
            <v>0</v>
          </cell>
        </row>
        <row r="929">
          <cell r="A929">
            <v>84721</v>
          </cell>
          <cell r="B929" t="str">
            <v>Primljeni zajmovi od županijskih proračuna - kratkoročni</v>
          </cell>
          <cell r="C929" t="str">
            <v>84721</v>
          </cell>
          <cell r="D929">
            <v>0</v>
          </cell>
          <cell r="E929">
            <v>0</v>
          </cell>
        </row>
        <row r="930">
          <cell r="A930">
            <v>84722</v>
          </cell>
          <cell r="B930" t="str">
            <v>Primljeni zajmovi od županijskih proračuna - dugoročni</v>
          </cell>
          <cell r="C930" t="str">
            <v>84722</v>
          </cell>
          <cell r="D930">
            <v>0</v>
          </cell>
          <cell r="E930">
            <v>0</v>
          </cell>
        </row>
        <row r="931">
          <cell r="A931">
            <v>84731</v>
          </cell>
          <cell r="B931" t="str">
            <v>Primljeni zajmovi od gradskih proračuna - kratkoročni</v>
          </cell>
          <cell r="C931" t="str">
            <v>84731</v>
          </cell>
          <cell r="D931">
            <v>0</v>
          </cell>
          <cell r="E931">
            <v>0</v>
          </cell>
        </row>
        <row r="932">
          <cell r="A932">
            <v>84732</v>
          </cell>
          <cell r="B932" t="str">
            <v>Primljeni zajmovi od gradskih proračuna - dugoročni</v>
          </cell>
          <cell r="C932" t="str">
            <v>84732</v>
          </cell>
          <cell r="D932">
            <v>0</v>
          </cell>
          <cell r="E932">
            <v>0</v>
          </cell>
        </row>
        <row r="933">
          <cell r="A933">
            <v>84741</v>
          </cell>
          <cell r="B933" t="str">
            <v>Primljeni zajmovi od općinskih proračuna - kratkoročni</v>
          </cell>
          <cell r="C933" t="str">
            <v>84741</v>
          </cell>
          <cell r="D933">
            <v>0</v>
          </cell>
          <cell r="E933">
            <v>0</v>
          </cell>
        </row>
        <row r="934">
          <cell r="A934">
            <v>84742</v>
          </cell>
          <cell r="B934" t="str">
            <v>Primljeni zajmovi od općinskih proračuna - dugoročni</v>
          </cell>
          <cell r="C934" t="str">
            <v>84742</v>
          </cell>
          <cell r="D934">
            <v>0</v>
          </cell>
          <cell r="E934">
            <v>0</v>
          </cell>
        </row>
        <row r="935">
          <cell r="A935">
            <v>84751</v>
          </cell>
          <cell r="B935" t="str">
            <v>Primljeni zajmovi od HZMO-a, HZZ-a i HZZO-a - kratkoročni</v>
          </cell>
          <cell r="C935" t="str">
            <v>84751</v>
          </cell>
          <cell r="D935">
            <v>0</v>
          </cell>
          <cell r="E935">
            <v>0</v>
          </cell>
        </row>
        <row r="936">
          <cell r="A936">
            <v>84752</v>
          </cell>
          <cell r="B936" t="str">
            <v>Primljeni zajmovi od HZMO-a, HZZ-a i HZZO-a - dugoročni</v>
          </cell>
          <cell r="C936" t="str">
            <v>84752</v>
          </cell>
          <cell r="D936">
            <v>0</v>
          </cell>
          <cell r="E936">
            <v>0</v>
          </cell>
        </row>
        <row r="937">
          <cell r="A937">
            <v>84761</v>
          </cell>
          <cell r="B937" t="str">
            <v>Primljeni zajmovi od ostalih izvanproračunskih korisnika državnog proračuna - kratkoročni</v>
          </cell>
          <cell r="C937" t="str">
            <v>84761</v>
          </cell>
          <cell r="D937">
            <v>0</v>
          </cell>
          <cell r="E937">
            <v>0</v>
          </cell>
        </row>
        <row r="938">
          <cell r="A938">
            <v>84762</v>
          </cell>
          <cell r="B938" t="str">
            <v>Primljeni zajmovi od ostalih izvanproračunskih korisnika državnog proračuna - dugoročni</v>
          </cell>
          <cell r="C938" t="str">
            <v>84762</v>
          </cell>
          <cell r="D938">
            <v>0</v>
          </cell>
          <cell r="E938">
            <v>0</v>
          </cell>
        </row>
        <row r="939">
          <cell r="A939" t="str">
            <v>84771</v>
          </cell>
          <cell r="B939" t="str">
            <v>Primljeni zajmovi od izvanproračunskih korisnika JLP(R)S - kratkoročni</v>
          </cell>
          <cell r="C939" t="str">
            <v>84771</v>
          </cell>
          <cell r="D939">
            <v>0</v>
          </cell>
          <cell r="E939">
            <v>0</v>
          </cell>
        </row>
        <row r="940">
          <cell r="A940" t="str">
            <v>84772</v>
          </cell>
          <cell r="B940" t="str">
            <v>Primljeni zajmovi od izvanproračunskih korisnika JLP(R)S - dugoročni</v>
          </cell>
          <cell r="C940" t="str">
            <v>84772</v>
          </cell>
          <cell r="D940">
            <v>0</v>
          </cell>
          <cell r="E940">
            <v>0</v>
          </cell>
        </row>
        <row r="941">
          <cell r="A941">
            <v>85412</v>
          </cell>
          <cell r="B941" t="str">
            <v>Ostali tuzemni vrijednosni papiri - dugoročni</v>
          </cell>
          <cell r="C941" t="str">
            <v>85412</v>
          </cell>
          <cell r="D941">
            <v>0</v>
          </cell>
          <cell r="E941">
            <v>0</v>
          </cell>
        </row>
        <row r="942">
          <cell r="A942">
            <v>51212</v>
          </cell>
          <cell r="B942" t="str">
            <v>Dani zajmovi neprofitnim organizacijama, građanima i kućanstvima u tuzemstvu – dugoročni</v>
          </cell>
          <cell r="C942" t="str">
            <v>51212</v>
          </cell>
          <cell r="D942">
            <v>0</v>
          </cell>
          <cell r="E942">
            <v>0</v>
          </cell>
        </row>
        <row r="943">
          <cell r="A943">
            <v>51322</v>
          </cell>
          <cell r="B943" t="str">
            <v>Dani zajmovi kreditnim institucijama u javnom sektoru – dugoročni</v>
          </cell>
          <cell r="C943" t="str">
            <v>51322</v>
          </cell>
          <cell r="D943">
            <v>0</v>
          </cell>
          <cell r="E943">
            <v>0</v>
          </cell>
        </row>
        <row r="944">
          <cell r="A944">
            <v>51332</v>
          </cell>
          <cell r="B944" t="str">
            <v>Dani zajmovi osiguravajućim društvima u javnom sektoru – dugoročni</v>
          </cell>
          <cell r="C944" t="str">
            <v>51332</v>
          </cell>
          <cell r="D944">
            <v>0</v>
          </cell>
          <cell r="E944">
            <v>0</v>
          </cell>
        </row>
        <row r="945">
          <cell r="A945">
            <v>51342</v>
          </cell>
          <cell r="B945" t="str">
            <v>Dani zajmovi ostalim financijskim institucijama u javnom sektoru – dugoročni</v>
          </cell>
          <cell r="C945" t="str">
            <v>51342</v>
          </cell>
          <cell r="D945">
            <v>0</v>
          </cell>
          <cell r="E945">
            <v>0</v>
          </cell>
        </row>
        <row r="946">
          <cell r="A946">
            <v>51411</v>
          </cell>
          <cell r="B946" t="str">
            <v>Dani zajmovi trgovačkim društvima u javnom sektoru – kratkoročni</v>
          </cell>
          <cell r="C946" t="str">
            <v>51411</v>
          </cell>
          <cell r="D946">
            <v>0</v>
          </cell>
          <cell r="E946">
            <v>0</v>
          </cell>
        </row>
        <row r="947">
          <cell r="A947">
            <v>51412</v>
          </cell>
          <cell r="B947" t="str">
            <v>Dani zajmovi trgovačkim društvima u javnom sektoru – dugoročni</v>
          </cell>
          <cell r="C947" t="str">
            <v>51412</v>
          </cell>
          <cell r="D947">
            <v>0</v>
          </cell>
          <cell r="E947">
            <v>0</v>
          </cell>
        </row>
        <row r="948">
          <cell r="A948">
            <v>51532</v>
          </cell>
          <cell r="B948" t="str">
            <v>Dani zajmovi tuzemnim kreditnim institucijama izvan javnog sektora – dugoročni</v>
          </cell>
          <cell r="C948" t="str">
            <v>51532</v>
          </cell>
          <cell r="D948">
            <v>0</v>
          </cell>
          <cell r="E948">
            <v>0</v>
          </cell>
        </row>
        <row r="949">
          <cell r="A949">
            <v>51542</v>
          </cell>
          <cell r="B949" t="str">
            <v>Dani zajmovi tuzemnim osiguravajućim društvima izvan javnog sektora – dugoročni</v>
          </cell>
          <cell r="C949" t="str">
            <v>51542</v>
          </cell>
          <cell r="D949">
            <v>0</v>
          </cell>
          <cell r="E949">
            <v>0</v>
          </cell>
        </row>
        <row r="950">
          <cell r="A950">
            <v>51552</v>
          </cell>
          <cell r="B950" t="str">
            <v>Dani zajmovi ostalim tuzemnim financijskim institucijama izvan javnog sektora – dugoročni</v>
          </cell>
          <cell r="C950" t="str">
            <v>51552</v>
          </cell>
          <cell r="D950">
            <v>0</v>
          </cell>
          <cell r="E950">
            <v>0</v>
          </cell>
        </row>
        <row r="951">
          <cell r="A951">
            <v>51631</v>
          </cell>
          <cell r="B951" t="str">
            <v>Dani zajmovi tuzemnim trgovačkim društvima izvan javnog sektora – kratkoročni</v>
          </cell>
          <cell r="C951" t="str">
            <v>51631</v>
          </cell>
          <cell r="D951">
            <v>0</v>
          </cell>
          <cell r="E951">
            <v>0</v>
          </cell>
        </row>
        <row r="952">
          <cell r="A952">
            <v>51632</v>
          </cell>
          <cell r="B952" t="str">
            <v>Dani zajmovi tuzemnim trgovačkim društvima izvan javnog sektora – dugoročni</v>
          </cell>
          <cell r="C952" t="str">
            <v>51632</v>
          </cell>
          <cell r="D952">
            <v>0</v>
          </cell>
          <cell r="E952">
            <v>0</v>
          </cell>
        </row>
        <row r="953">
          <cell r="A953">
            <v>51641</v>
          </cell>
          <cell r="B953" t="str">
            <v>Dani zajmovi tuzemnim obrtnicima – kratkoročni</v>
          </cell>
          <cell r="C953" t="str">
            <v>51641</v>
          </cell>
          <cell r="D953">
            <v>0</v>
          </cell>
          <cell r="E953">
            <v>0</v>
          </cell>
        </row>
        <row r="954">
          <cell r="A954">
            <v>51642</v>
          </cell>
          <cell r="B954" t="str">
            <v>Dani zajmovi tuzemnim obrtnicima – dugoročni</v>
          </cell>
          <cell r="C954" t="str">
            <v>51642</v>
          </cell>
          <cell r="D954">
            <v>0</v>
          </cell>
          <cell r="E954">
            <v>0</v>
          </cell>
        </row>
        <row r="955">
          <cell r="A955">
            <v>51711</v>
          </cell>
          <cell r="B955" t="str">
            <v>Dani zajmovi državnom proračunu – kratkoročni</v>
          </cell>
          <cell r="C955" t="str">
            <v>51711</v>
          </cell>
          <cell r="D955">
            <v>0</v>
          </cell>
          <cell r="E955">
            <v>0</v>
          </cell>
        </row>
        <row r="956">
          <cell r="A956">
            <v>51712</v>
          </cell>
          <cell r="B956" t="str">
            <v>Dani zajmovi državnom proračunu – dugoročni</v>
          </cell>
          <cell r="C956" t="str">
            <v>51712</v>
          </cell>
          <cell r="D956">
            <v>0</v>
          </cell>
          <cell r="E956">
            <v>0</v>
          </cell>
        </row>
        <row r="957">
          <cell r="A957">
            <v>51721</v>
          </cell>
          <cell r="B957" t="str">
            <v>Dani zajmovi županijskim proračunima – kratkoročni</v>
          </cell>
          <cell r="C957" t="str">
            <v>51721</v>
          </cell>
          <cell r="D957">
            <v>0</v>
          </cell>
          <cell r="E957">
            <v>0</v>
          </cell>
        </row>
        <row r="958">
          <cell r="A958">
            <v>51722</v>
          </cell>
          <cell r="B958" t="str">
            <v>Dani zajmovi županijskim proračunima – dugoročni</v>
          </cell>
          <cell r="C958" t="str">
            <v>51722</v>
          </cell>
          <cell r="D958">
            <v>0</v>
          </cell>
          <cell r="E958">
            <v>0</v>
          </cell>
        </row>
        <row r="959">
          <cell r="A959">
            <v>51731</v>
          </cell>
          <cell r="B959" t="str">
            <v>Dani zajmovi gradskim proračunima – kratkoročni</v>
          </cell>
          <cell r="C959" t="str">
            <v>51731</v>
          </cell>
          <cell r="D959">
            <v>0</v>
          </cell>
          <cell r="E959">
            <v>0</v>
          </cell>
        </row>
        <row r="960">
          <cell r="A960">
            <v>51732</v>
          </cell>
          <cell r="B960" t="str">
            <v>Dani zajmovi gradskim proračunima – dugoročni</v>
          </cell>
          <cell r="C960" t="str">
            <v>51732</v>
          </cell>
          <cell r="D960">
            <v>0</v>
          </cell>
          <cell r="E960">
            <v>0</v>
          </cell>
        </row>
        <row r="961">
          <cell r="A961">
            <v>51741</v>
          </cell>
          <cell r="B961" t="str">
            <v>Dani zajmovi općinskim proračunima – kratkoročni</v>
          </cell>
          <cell r="C961" t="str">
            <v>51741</v>
          </cell>
          <cell r="D961">
            <v>0</v>
          </cell>
          <cell r="E961">
            <v>0</v>
          </cell>
        </row>
        <row r="962">
          <cell r="A962">
            <v>51742</v>
          </cell>
          <cell r="B962" t="str">
            <v>Dani zajmovi općinskim proračunima – dugoročni</v>
          </cell>
          <cell r="C962" t="str">
            <v>51742</v>
          </cell>
          <cell r="D962">
            <v>0</v>
          </cell>
          <cell r="E962">
            <v>0</v>
          </cell>
        </row>
        <row r="963">
          <cell r="A963">
            <v>51751</v>
          </cell>
          <cell r="B963" t="str">
            <v>Dani zajmovi HZMO-u, HZZ-u i HZZO-u – kratkoročni</v>
          </cell>
          <cell r="C963" t="str">
            <v>51751</v>
          </cell>
          <cell r="D963">
            <v>0</v>
          </cell>
          <cell r="E963">
            <v>0</v>
          </cell>
        </row>
        <row r="964">
          <cell r="A964">
            <v>51752</v>
          </cell>
          <cell r="B964" t="str">
            <v>Dani zajmovi HZMO-u, HZZ-u i HZZO-u – dugoročni</v>
          </cell>
          <cell r="C964" t="str">
            <v>51752</v>
          </cell>
          <cell r="D964">
            <v>0</v>
          </cell>
          <cell r="E964">
            <v>0</v>
          </cell>
        </row>
        <row r="965">
          <cell r="A965">
            <v>51761</v>
          </cell>
          <cell r="B965" t="str">
            <v>Dani zajmovi ostalim izvanproračunskim korisnicima državnog proračuna – kratkoročni</v>
          </cell>
          <cell r="C965" t="str">
            <v>51761</v>
          </cell>
          <cell r="D965">
            <v>0</v>
          </cell>
          <cell r="E965">
            <v>0</v>
          </cell>
        </row>
        <row r="966">
          <cell r="A966">
            <v>51762</v>
          </cell>
          <cell r="B966" t="str">
            <v>Dani zajmovi ostalim izvanproračunskim korisnicima državnog proračuna – dugoročni</v>
          </cell>
          <cell r="C966" t="str">
            <v>51762</v>
          </cell>
          <cell r="D966">
            <v>0</v>
          </cell>
          <cell r="E966">
            <v>0</v>
          </cell>
        </row>
        <row r="967">
          <cell r="A967">
            <v>51771</v>
          </cell>
          <cell r="B967" t="str">
            <v>Dani zajmovi izvanproračunskim korisnicima JLP(R)S – kratkoročni</v>
          </cell>
          <cell r="C967" t="str">
            <v>51771</v>
          </cell>
          <cell r="D967">
            <v>0</v>
          </cell>
          <cell r="E967">
            <v>0</v>
          </cell>
        </row>
        <row r="968">
          <cell r="A968">
            <v>51772</v>
          </cell>
          <cell r="B968" t="str">
            <v>Dani zajmovi izvanproračunskim korisnicima JLP(R)S – dugoročni</v>
          </cell>
          <cell r="C968" t="str">
            <v>51772</v>
          </cell>
          <cell r="D968">
            <v>0</v>
          </cell>
          <cell r="E968">
            <v>0</v>
          </cell>
        </row>
        <row r="969">
          <cell r="A969">
            <v>54132</v>
          </cell>
          <cell r="B969" t="str">
            <v>Otplata glavnice primljenih zajmova od međunarodnih organizacija – dugoročnih</v>
          </cell>
          <cell r="C969" t="str">
            <v>54132</v>
          </cell>
          <cell r="D969">
            <v>0</v>
          </cell>
          <cell r="E969">
            <v>0</v>
          </cell>
        </row>
        <row r="970">
          <cell r="A970">
            <v>54142</v>
          </cell>
          <cell r="B970" t="str">
            <v>Otplata glavnice primljenih kredita i zajmova od institucija i tijela EU – dugoročnih</v>
          </cell>
          <cell r="C970" t="str">
            <v>54142</v>
          </cell>
          <cell r="D970">
            <v>0</v>
          </cell>
          <cell r="E970">
            <v>0</v>
          </cell>
        </row>
        <row r="971">
          <cell r="A971">
            <v>54152</v>
          </cell>
          <cell r="B971" t="str">
            <v>Otplata glavnice primljenih zajmova od inozemnih vlada u EU – dugoročnih</v>
          </cell>
          <cell r="C971" t="str">
            <v>54152</v>
          </cell>
          <cell r="D971">
            <v>0</v>
          </cell>
          <cell r="E971">
            <v>0</v>
          </cell>
        </row>
        <row r="972">
          <cell r="A972">
            <v>54162</v>
          </cell>
          <cell r="B972" t="str">
            <v>Otplata glavnice primljenih zajmova od inozemnih vlada izvan EU – dugoročnih</v>
          </cell>
          <cell r="C972" t="str">
            <v>54162</v>
          </cell>
          <cell r="D972">
            <v>0</v>
          </cell>
          <cell r="E972">
            <v>0</v>
          </cell>
        </row>
        <row r="973">
          <cell r="A973">
            <v>54221</v>
          </cell>
          <cell r="B973" t="str">
            <v>Otplata glavnice primljenih kredita od kreditnih institucija u javnom sektoru – kratkoročnih</v>
          </cell>
          <cell r="C973" t="str">
            <v>54221</v>
          </cell>
          <cell r="D973">
            <v>0</v>
          </cell>
          <cell r="E973">
            <v>0</v>
          </cell>
        </row>
        <row r="974">
          <cell r="A974">
            <v>54222</v>
          </cell>
          <cell r="B974" t="str">
            <v>Otplata glavnice primljenih kredita od kreditnih institucija u javnom sektoru – dugoročnih</v>
          </cell>
          <cell r="C974" t="str">
            <v>54222</v>
          </cell>
          <cell r="D974">
            <v>0</v>
          </cell>
          <cell r="E974">
            <v>0</v>
          </cell>
        </row>
        <row r="975">
          <cell r="A975" t="str">
            <v>54223</v>
          </cell>
          <cell r="B975" t="str">
            <v>Otplata glavnice po financijskom najmu od kreditnih institucija u javnom sektoru</v>
          </cell>
          <cell r="C975" t="str">
            <v>54223</v>
          </cell>
          <cell r="D975">
            <v>0</v>
          </cell>
          <cell r="E975">
            <v>0</v>
          </cell>
        </row>
        <row r="976">
          <cell r="A976">
            <v>54232</v>
          </cell>
          <cell r="B976" t="str">
            <v>Otplata glavnice primljenih zajmova od osiguravajućih društava u javnom sektoru – dugoročnih</v>
          </cell>
          <cell r="C976" t="str">
            <v>54232</v>
          </cell>
          <cell r="D976">
            <v>0</v>
          </cell>
          <cell r="E976">
            <v>0</v>
          </cell>
        </row>
        <row r="977">
          <cell r="A977">
            <v>54242</v>
          </cell>
          <cell r="B977" t="str">
            <v>Otplata glavnice primljenih zajmova od ostalih financijskih institucija u javnom sektoru – dugoročnih</v>
          </cell>
          <cell r="C977" t="str">
            <v>54242</v>
          </cell>
          <cell r="D977">
            <v>0</v>
          </cell>
          <cell r="E977">
            <v>0</v>
          </cell>
        </row>
        <row r="978">
          <cell r="A978" t="str">
            <v>54243</v>
          </cell>
          <cell r="B978" t="str">
            <v>Otplata glavnice po financijskom najmu od ostalih financijskih institucija u javnom sektoru</v>
          </cell>
          <cell r="C978" t="str">
            <v>54243</v>
          </cell>
          <cell r="D978">
            <v>0</v>
          </cell>
          <cell r="E978">
            <v>0</v>
          </cell>
        </row>
        <row r="979">
          <cell r="A979">
            <v>54312</v>
          </cell>
          <cell r="B979" t="str">
            <v>Otplata glavnice primljenih zajmova od trgovačkih društava u javnom sektoru – dugoročnih</v>
          </cell>
          <cell r="C979" t="str">
            <v>54312</v>
          </cell>
          <cell r="D979">
            <v>0</v>
          </cell>
          <cell r="E979">
            <v>0</v>
          </cell>
        </row>
        <row r="980">
          <cell r="A980">
            <v>54431</v>
          </cell>
          <cell r="B980" t="str">
            <v>Otplata glavnice primljenih kredita od tuzemnih kreditnih institucija izvan javnog sektora – kratkoročnih</v>
          </cell>
          <cell r="C980" t="str">
            <v>54431</v>
          </cell>
          <cell r="D980">
            <v>0</v>
          </cell>
          <cell r="E980">
            <v>0</v>
          </cell>
        </row>
        <row r="981">
          <cell r="A981">
            <v>54432</v>
          </cell>
          <cell r="B981" t="str">
            <v>Otplata glavnice primljenih kredita od tuzemnih kreditnih institucija izvan javnog sektora – dugoročnih</v>
          </cell>
          <cell r="C981" t="str">
            <v>54432</v>
          </cell>
          <cell r="D981">
            <v>0</v>
          </cell>
          <cell r="E981">
            <v>0</v>
          </cell>
        </row>
        <row r="982">
          <cell r="A982" t="str">
            <v>54433</v>
          </cell>
          <cell r="B982" t="str">
            <v>Otplata glavnice po financijskom najmu od tuzemnih kreditnih institucija izvan javnog sektora</v>
          </cell>
          <cell r="C982" t="str">
            <v>54433</v>
          </cell>
          <cell r="D982">
            <v>0</v>
          </cell>
          <cell r="E982">
            <v>0</v>
          </cell>
        </row>
        <row r="983">
          <cell r="A983">
            <v>54442</v>
          </cell>
          <cell r="B983" t="str">
            <v>Otplata glavnice primljenih zajmova od tuzemnih osiguravajućih društava izvan javnog sektora – dugoročnih</v>
          </cell>
          <cell r="C983" t="str">
            <v>54442</v>
          </cell>
          <cell r="D983">
            <v>0</v>
          </cell>
          <cell r="E983">
            <v>0</v>
          </cell>
        </row>
        <row r="984">
          <cell r="A984">
            <v>54452</v>
          </cell>
          <cell r="B984" t="str">
            <v>Otplata glavnice primljenih zajmova od ostalih tuzemnih financijskih institucija izvan javnog sektora – dugoročnih</v>
          </cell>
          <cell r="C984" t="str">
            <v>54452</v>
          </cell>
          <cell r="D984">
            <v>0</v>
          </cell>
          <cell r="E984">
            <v>0</v>
          </cell>
        </row>
        <row r="985">
          <cell r="A985" t="str">
            <v>54453</v>
          </cell>
          <cell r="B985" t="str">
            <v>Otplata glavnice po financijskom najmu od ostalih tuzemnih financijskih institucija izvan javnog sektora</v>
          </cell>
          <cell r="C985" t="str">
            <v>54453</v>
          </cell>
          <cell r="D985">
            <v>0</v>
          </cell>
          <cell r="E985">
            <v>0</v>
          </cell>
        </row>
        <row r="986">
          <cell r="A986">
            <v>54461</v>
          </cell>
          <cell r="B986" t="str">
            <v>Otplata glavnice primljenih kredita od inozemnih kreditnih institucija – kratkoročnih</v>
          </cell>
          <cell r="C986" t="str">
            <v>54461</v>
          </cell>
          <cell r="D986">
            <v>0</v>
          </cell>
          <cell r="E986">
            <v>0</v>
          </cell>
        </row>
        <row r="987">
          <cell r="A987">
            <v>54462</v>
          </cell>
          <cell r="B987" t="str">
            <v>Otplata glavnice primljenih kredita od inozemnih kreditnih institucija – dugoročnih</v>
          </cell>
          <cell r="C987" t="str">
            <v>54462</v>
          </cell>
          <cell r="D987">
            <v>0</v>
          </cell>
          <cell r="E987">
            <v>0</v>
          </cell>
        </row>
        <row r="988">
          <cell r="A988" t="str">
            <v>54463</v>
          </cell>
          <cell r="B988" t="str">
            <v>Otplata glavnice po financijskom najmu od inozemnih kreditnih institucija</v>
          </cell>
          <cell r="C988" t="str">
            <v>54463</v>
          </cell>
          <cell r="D988">
            <v>0</v>
          </cell>
          <cell r="E988">
            <v>0</v>
          </cell>
        </row>
        <row r="989">
          <cell r="A989">
            <v>54472</v>
          </cell>
          <cell r="B989" t="str">
            <v>Otplata glavnice primljenih zajmova od inozemnih osiguravajućih društava – dugoročnih</v>
          </cell>
          <cell r="C989" t="str">
            <v>54472</v>
          </cell>
          <cell r="D989">
            <v>0</v>
          </cell>
          <cell r="E989">
            <v>0</v>
          </cell>
        </row>
        <row r="990">
          <cell r="A990">
            <v>54482</v>
          </cell>
          <cell r="B990" t="str">
            <v>Otplata glavnice primljenih zajmova od ostalih inozemnih financijskih institucija – dugoročnih</v>
          </cell>
          <cell r="C990" t="str">
            <v>54482</v>
          </cell>
          <cell r="D990">
            <v>0</v>
          </cell>
          <cell r="E990">
            <v>0</v>
          </cell>
        </row>
        <row r="991">
          <cell r="A991" t="str">
            <v>54483</v>
          </cell>
          <cell r="B991" t="str">
            <v>Otplata glavnice primljenog financijskog najma od ostalih inozemnih financijskih institucija</v>
          </cell>
          <cell r="C991" t="str">
            <v>54483</v>
          </cell>
          <cell r="D991">
            <v>0</v>
          </cell>
          <cell r="E991">
            <v>0</v>
          </cell>
        </row>
        <row r="992">
          <cell r="A992">
            <v>54532</v>
          </cell>
          <cell r="B992" t="str">
            <v>Otplata glavnice primljenih zajmova od tuzemnih trgovačkih društava izvan javnog sektora – dugoročnih</v>
          </cell>
          <cell r="C992" t="str">
            <v>54532</v>
          </cell>
          <cell r="D992">
            <v>0</v>
          </cell>
          <cell r="E992">
            <v>0</v>
          </cell>
        </row>
        <row r="993">
          <cell r="A993">
            <v>54542</v>
          </cell>
          <cell r="B993" t="str">
            <v>Otplata glavnice primljenih zajmova od tuzemnih obrtnika – dugoročnih</v>
          </cell>
          <cell r="C993" t="str">
            <v>54542</v>
          </cell>
          <cell r="D993">
            <v>0</v>
          </cell>
          <cell r="E993">
            <v>0</v>
          </cell>
        </row>
        <row r="994">
          <cell r="A994">
            <v>54552</v>
          </cell>
          <cell r="B994" t="str">
            <v>Otplata glavnice primljenih zajmova od inozemnih trgovačkih društava – dugoročnih</v>
          </cell>
          <cell r="C994" t="str">
            <v>54552</v>
          </cell>
          <cell r="D994">
            <v>0</v>
          </cell>
          <cell r="E994">
            <v>0</v>
          </cell>
        </row>
        <row r="995">
          <cell r="A995">
            <v>54711</v>
          </cell>
          <cell r="B995" t="str">
            <v>Otplata glavnice primljenih zajmova od državnog proračuna – kratkoročnih</v>
          </cell>
          <cell r="C995" t="str">
            <v>54711</v>
          </cell>
          <cell r="D995">
            <v>0</v>
          </cell>
          <cell r="E995">
            <v>0</v>
          </cell>
        </row>
        <row r="996">
          <cell r="A996">
            <v>54712</v>
          </cell>
          <cell r="B996" t="str">
            <v>Otplata glavnice primljenih zajmova od državnog proračuna – dugoročnih</v>
          </cell>
          <cell r="C996" t="str">
            <v>54712</v>
          </cell>
          <cell r="D996">
            <v>0</v>
          </cell>
          <cell r="E996">
            <v>0</v>
          </cell>
        </row>
        <row r="997">
          <cell r="A997">
            <v>54721</v>
          </cell>
          <cell r="B997" t="str">
            <v>Otplata glavnice primljenih zajmova od županijskih proračuna – kratkoročnih</v>
          </cell>
          <cell r="C997" t="str">
            <v>54721</v>
          </cell>
          <cell r="D997">
            <v>0</v>
          </cell>
          <cell r="E997">
            <v>0</v>
          </cell>
        </row>
        <row r="998">
          <cell r="A998">
            <v>54722</v>
          </cell>
          <cell r="B998" t="str">
            <v>Otplata glavnice primljenih zajmova od županijskih proračuna – dugoročnih</v>
          </cell>
          <cell r="C998" t="str">
            <v>54722</v>
          </cell>
          <cell r="D998">
            <v>0</v>
          </cell>
          <cell r="E998">
            <v>0</v>
          </cell>
        </row>
        <row r="999">
          <cell r="A999">
            <v>54731</v>
          </cell>
          <cell r="B999" t="str">
            <v>Otplata glavnice primljenih zajmova od gradskih proračuna – kratkoročnih</v>
          </cell>
          <cell r="C999" t="str">
            <v>54731</v>
          </cell>
          <cell r="D999">
            <v>0</v>
          </cell>
          <cell r="E999">
            <v>0</v>
          </cell>
        </row>
        <row r="1000">
          <cell r="A1000">
            <v>54732</v>
          </cell>
          <cell r="B1000" t="str">
            <v>Otplata glavnice primljenih zajmova od gradskih proračuna – dugoročnih</v>
          </cell>
          <cell r="C1000" t="str">
            <v>54732</v>
          </cell>
          <cell r="D1000">
            <v>0</v>
          </cell>
          <cell r="E1000">
            <v>0</v>
          </cell>
        </row>
        <row r="1001">
          <cell r="A1001">
            <v>54741</v>
          </cell>
          <cell r="B1001" t="str">
            <v>Otplata glavnice primljenih zajmova od općinskih proračuna – kratkoročnih</v>
          </cell>
          <cell r="C1001" t="str">
            <v>54741</v>
          </cell>
          <cell r="D1001">
            <v>0</v>
          </cell>
          <cell r="E1001">
            <v>0</v>
          </cell>
        </row>
        <row r="1002">
          <cell r="A1002">
            <v>54742</v>
          </cell>
          <cell r="B1002" t="str">
            <v>Otplata glavnice primljenih zajmova od općinskih proračuna – dugoročnih</v>
          </cell>
          <cell r="C1002" t="str">
            <v>54742</v>
          </cell>
          <cell r="D1002">
            <v>0</v>
          </cell>
          <cell r="E1002">
            <v>0</v>
          </cell>
        </row>
        <row r="1003">
          <cell r="A1003">
            <v>54751</v>
          </cell>
          <cell r="B1003" t="str">
            <v>Otplata glavnice primljenih zajmova od HZMO-a, HZZ-a i HZZO-a – kratkoročnih</v>
          </cell>
          <cell r="C1003" t="str">
            <v>54751</v>
          </cell>
          <cell r="D1003">
            <v>0</v>
          </cell>
          <cell r="E1003">
            <v>0</v>
          </cell>
        </row>
        <row r="1004">
          <cell r="A1004">
            <v>54752</v>
          </cell>
          <cell r="B1004" t="str">
            <v>Otplata glavnice primljenih zajmova od HZMO-a, HZZ-a i HZZO-a – dugoročnih</v>
          </cell>
          <cell r="C1004" t="str">
            <v>54752</v>
          </cell>
          <cell r="D1004">
            <v>0</v>
          </cell>
          <cell r="E1004">
            <v>0</v>
          </cell>
        </row>
        <row r="1005">
          <cell r="A1005">
            <v>54761</v>
          </cell>
          <cell r="B1005" t="str">
            <v>Otplata glavnice primljenih zajmova od ostalih izvanproračunskih korisnika državnog proračuna – kratkoročnih</v>
          </cell>
          <cell r="C1005" t="str">
            <v>54761</v>
          </cell>
          <cell r="D1005">
            <v>0</v>
          </cell>
          <cell r="E1005">
            <v>0</v>
          </cell>
        </row>
        <row r="1006">
          <cell r="A1006">
            <v>54762</v>
          </cell>
          <cell r="B1006" t="str">
            <v>Otplata glavnice primljenih zajmova od ostalih izvanproračunskih korisnika državnog proračuna – dugoročnih</v>
          </cell>
          <cell r="C1006" t="str">
            <v>54762</v>
          </cell>
          <cell r="D1006">
            <v>0</v>
          </cell>
          <cell r="E1006">
            <v>0</v>
          </cell>
        </row>
        <row r="1007">
          <cell r="A1007">
            <v>54771</v>
          </cell>
          <cell r="B1007" t="str">
            <v>Otplata glavnice primljenih zajmova od izvanproračunskih korisnika JLP(R)S – kratkoročnih</v>
          </cell>
          <cell r="C1007" t="str">
            <v>54771</v>
          </cell>
          <cell r="D1007">
            <v>0</v>
          </cell>
          <cell r="E1007">
            <v>0</v>
          </cell>
        </row>
        <row r="1008">
          <cell r="A1008">
            <v>54772</v>
          </cell>
          <cell r="B1008" t="str">
            <v>Otplata glavnice primljenih zajmova od izvanproračunskih korisnika JLP(R)S – dugoročnih</v>
          </cell>
          <cell r="C1008" t="str">
            <v>54772</v>
          </cell>
          <cell r="D1008">
            <v>0</v>
          </cell>
          <cell r="E1008">
            <v>0</v>
          </cell>
        </row>
        <row r="1009">
          <cell r="A1009">
            <v>55312</v>
          </cell>
          <cell r="B1009" t="str">
            <v>Izdaci za otplatu glavnice za izdane ostale vrijednosne papire u zemlji - dugoročne</v>
          </cell>
          <cell r="C1009" t="str">
            <v>55312</v>
          </cell>
          <cell r="D1009">
            <v>0</v>
          </cell>
          <cell r="E1009">
            <v>0</v>
          </cell>
        </row>
        <row r="1010">
          <cell r="A1010" t="str">
            <v>Obvezni dodatni podaci</v>
          </cell>
          <cell r="B1010"/>
          <cell r="C1010"/>
          <cell r="D1010"/>
          <cell r="E1010"/>
        </row>
        <row r="1011">
          <cell r="A1011" t="str">
            <v>Račun iz rač. plana</v>
          </cell>
          <cell r="B1011" t="str">
            <v>Opis stavke</v>
          </cell>
          <cell r="C1011" t="str">
            <v>Šifra</v>
          </cell>
          <cell r="D1011" t="str">
            <v>Stanje na kraju prethodne godine</v>
          </cell>
          <cell r="E1011" t="str">
            <v>Stanje na kraju izvještajnog razdoblja</v>
          </cell>
        </row>
        <row r="1012">
          <cell r="A1012" t="str">
            <v>26224,26233, 26244,26314</v>
          </cell>
          <cell r="B1012" t="str">
            <v>Obveze za zajmove po faktoringu od kreditnih institucija, osiguravajućih društava, ostalih financijskih institucija i trgovačkih društava u javnom sektoru</v>
          </cell>
          <cell r="C1012" t="str">
            <v>26224,26233,26244,26314</v>
          </cell>
          <cell r="D1012">
            <v>0</v>
          </cell>
          <cell r="E1012">
            <v>0</v>
          </cell>
        </row>
        <row r="1013">
          <cell r="A1013" t="str">
            <v>26243</v>
          </cell>
          <cell r="B1013" t="str">
            <v>Obveze za financijski najam od ostalih financijskih institucija u javnom sektoru</v>
          </cell>
          <cell r="C1013" t="str">
            <v>26243</v>
          </cell>
          <cell r="D1013">
            <v>0</v>
          </cell>
          <cell r="E1013">
            <v>0</v>
          </cell>
        </row>
        <row r="1014">
          <cell r="A1014" t="str">
            <v>26453</v>
          </cell>
          <cell r="B1014" t="str">
            <v>Obveze za financijski najam od ostalih tuzemnih financijskih institucija izvan javnog sektora</v>
          </cell>
          <cell r="C1014" t="str">
            <v>26453</v>
          </cell>
          <cell r="D1014">
            <v>0</v>
          </cell>
          <cell r="E1014">
            <v>0</v>
          </cell>
        </row>
        <row r="1015">
          <cell r="A1015">
            <v>26454</v>
          </cell>
          <cell r="B1015" t="str">
            <v>Obveze za zajmove po faktoringu od ostalih tuzemnih financijskih institucija izvan javnog sektora</v>
          </cell>
          <cell r="C1015" t="str">
            <v>26454</v>
          </cell>
          <cell r="D1015">
            <v>0</v>
          </cell>
          <cell r="E1015">
            <v>0</v>
          </cell>
        </row>
        <row r="1016">
          <cell r="A1016" t="str">
            <v>26463</v>
          </cell>
          <cell r="B1016" t="str">
            <v>Obveze za financijski najam od inozemnih kreditnih institucija</v>
          </cell>
          <cell r="C1016" t="str">
            <v>26463</v>
          </cell>
          <cell r="D1016">
            <v>0</v>
          </cell>
          <cell r="E1016">
            <v>0</v>
          </cell>
        </row>
        <row r="1017">
          <cell r="A1017" t="str">
            <v>26464,26473, 26484,26554, 26564</v>
          </cell>
          <cell r="B1017" t="str">
            <v>Obveze za zajmove po faktoringu od inozemnih kreditnih institucija, inozemnih osiguravajućih društava, ostalih inozemnih financijskih institucija, inozemnih trgovačkih društava i inozemnih obrtnika</v>
          </cell>
          <cell r="C1017" t="str">
            <v>26464,26473,26484,26554,26564</v>
          </cell>
          <cell r="D1017">
            <v>0</v>
          </cell>
          <cell r="E1017">
            <v>0</v>
          </cell>
        </row>
        <row r="1018">
          <cell r="A1018" t="str">
            <v>26483</v>
          </cell>
          <cell r="B1018" t="str">
            <v>Obveze za financijski najam od ostalih inozemnih financijskih institucija</v>
          </cell>
          <cell r="C1018" t="str">
            <v>26483</v>
          </cell>
          <cell r="D1018">
            <v>0</v>
          </cell>
          <cell r="E1018">
            <v>0</v>
          </cell>
        </row>
        <row r="1019">
          <cell r="A1019">
            <v>26534</v>
          </cell>
          <cell r="B1019" t="str">
            <v>Obveze za zajmove po faktoringu od tuzemnih trgovačkih društava izvan javnog sektora</v>
          </cell>
          <cell r="C1019" t="str">
            <v>26534</v>
          </cell>
          <cell r="D1019">
            <v>0</v>
          </cell>
          <cell r="E1019">
            <v>0</v>
          </cell>
        </row>
        <row r="1020">
          <cell r="A1020"/>
          <cell r="B1020"/>
          <cell r="C1020"/>
          <cell r="D1020"/>
          <cell r="E1020"/>
        </row>
        <row r="1021">
          <cell r="A1021"/>
          <cell r="B1021"/>
          <cell r="C1021"/>
          <cell r="D1021"/>
          <cell r="E1021"/>
        </row>
        <row r="1022">
          <cell r="A1022"/>
          <cell r="B1022"/>
          <cell r="C1022"/>
          <cell r="D1022"/>
          <cell r="E1022"/>
        </row>
        <row r="1023">
          <cell r="A1023"/>
          <cell r="B1023"/>
          <cell r="C1023"/>
          <cell r="D1023"/>
          <cell r="E1023"/>
        </row>
        <row r="1024">
          <cell r="A1024"/>
          <cell r="B1024"/>
          <cell r="C1024"/>
          <cell r="D1024"/>
          <cell r="E1024"/>
        </row>
        <row r="1025">
          <cell r="A1025"/>
          <cell r="B1025"/>
          <cell r="C1025"/>
          <cell r="D1025"/>
          <cell r="E1025"/>
        </row>
        <row r="1026">
          <cell r="A1026"/>
          <cell r="B1026"/>
          <cell r="C1026"/>
          <cell r="D1026"/>
          <cell r="E1026"/>
        </row>
        <row r="1027">
          <cell r="A1027"/>
          <cell r="B1027"/>
          <cell r="C1027"/>
          <cell r="D1027"/>
          <cell r="E1027"/>
        </row>
        <row r="1028">
          <cell r="A1028"/>
          <cell r="B1028"/>
          <cell r="C1028"/>
          <cell r="D1028"/>
          <cell r="E1028"/>
        </row>
        <row r="1029">
          <cell r="A1029"/>
          <cell r="B1029"/>
          <cell r="C1029"/>
          <cell r="D1029"/>
          <cell r="E1029"/>
        </row>
        <row r="1030">
          <cell r="A1030"/>
          <cell r="B1030"/>
          <cell r="C1030"/>
          <cell r="D1030"/>
          <cell r="E1030"/>
        </row>
        <row r="1031">
          <cell r="A1031"/>
          <cell r="B1031"/>
          <cell r="C1031"/>
          <cell r="D1031"/>
          <cell r="E1031"/>
        </row>
        <row r="1032">
          <cell r="A1032"/>
          <cell r="B1032"/>
          <cell r="C1032"/>
          <cell r="D1032"/>
          <cell r="E1032"/>
        </row>
        <row r="1033">
          <cell r="A1033"/>
          <cell r="B1033"/>
          <cell r="C1033"/>
          <cell r="D1033"/>
          <cell r="E1033"/>
        </row>
        <row r="1034">
          <cell r="A1034"/>
          <cell r="B1034"/>
          <cell r="C1034"/>
          <cell r="D1034"/>
          <cell r="E1034"/>
        </row>
        <row r="1035">
          <cell r="A1035"/>
          <cell r="B1035"/>
          <cell r="C1035"/>
          <cell r="D1035"/>
          <cell r="E1035"/>
        </row>
        <row r="1036">
          <cell r="A1036"/>
          <cell r="B1036"/>
          <cell r="C1036"/>
          <cell r="D1036"/>
          <cell r="E1036"/>
        </row>
        <row r="1037">
          <cell r="A1037"/>
          <cell r="B1037"/>
          <cell r="C1037"/>
          <cell r="D1037"/>
          <cell r="E1037"/>
        </row>
        <row r="1038">
          <cell r="A1038"/>
          <cell r="B1038"/>
          <cell r="C1038"/>
          <cell r="D1038"/>
          <cell r="E1038"/>
        </row>
        <row r="1039">
          <cell r="A1039"/>
          <cell r="B1039"/>
          <cell r="C1039"/>
          <cell r="D1039"/>
          <cell r="E1039"/>
        </row>
        <row r="1040">
          <cell r="A1040"/>
          <cell r="B1040"/>
          <cell r="C1040"/>
          <cell r="D1040"/>
          <cell r="E1040"/>
        </row>
        <row r="1041">
          <cell r="A1041"/>
          <cell r="B1041"/>
          <cell r="C1041"/>
          <cell r="D1041"/>
          <cell r="E1041"/>
        </row>
        <row r="1042">
          <cell r="A1042"/>
          <cell r="B1042"/>
          <cell r="C1042"/>
          <cell r="D1042"/>
          <cell r="E1042"/>
        </row>
        <row r="1043">
          <cell r="A1043"/>
          <cell r="B1043"/>
          <cell r="C1043"/>
          <cell r="D1043"/>
          <cell r="E1043"/>
        </row>
        <row r="1044">
          <cell r="A1044"/>
          <cell r="B1044"/>
          <cell r="C1044"/>
          <cell r="D1044"/>
          <cell r="E1044"/>
        </row>
        <row r="1045">
          <cell r="A1045"/>
          <cell r="B1045"/>
          <cell r="C1045"/>
          <cell r="D1045"/>
          <cell r="E1045"/>
        </row>
        <row r="1046">
          <cell r="A1046"/>
          <cell r="B1046"/>
          <cell r="C1046"/>
          <cell r="D1046"/>
          <cell r="E1046"/>
        </row>
        <row r="1047">
          <cell r="A1047"/>
          <cell r="B1047"/>
          <cell r="C1047"/>
          <cell r="D1047"/>
          <cell r="E1047"/>
        </row>
        <row r="1048">
          <cell r="A1048"/>
          <cell r="B1048"/>
          <cell r="C1048"/>
          <cell r="D1048"/>
          <cell r="E1048"/>
        </row>
        <row r="1049">
          <cell r="A1049"/>
          <cell r="B1049"/>
          <cell r="C1049"/>
          <cell r="D1049"/>
          <cell r="E1049"/>
        </row>
        <row r="1050">
          <cell r="A1050"/>
          <cell r="B1050"/>
          <cell r="C1050"/>
          <cell r="D1050"/>
          <cell r="E1050"/>
        </row>
        <row r="1051">
          <cell r="A1051"/>
          <cell r="B1051"/>
          <cell r="C1051"/>
          <cell r="D1051"/>
          <cell r="E1051"/>
        </row>
        <row r="1052">
          <cell r="A1052"/>
          <cell r="B1052"/>
          <cell r="C1052"/>
          <cell r="D1052"/>
          <cell r="E1052"/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_20260630 (2)"/>
      <sheetName val="Anl_20260630_Arhiva"/>
      <sheetName val="Anl_20260630_kopija"/>
      <sheetName val="Anl_20250630"/>
      <sheetName val="Rekapit_Po_Kontima"/>
      <sheetName val="List3"/>
      <sheetName val="Anl_20260630_5"/>
      <sheetName val="Rekapitulacija_KGZ"/>
      <sheetName val="Rekapitulacija_Riznica"/>
      <sheetName val="Sume_20260630"/>
    </sheetNames>
    <sheetDataSet>
      <sheetData sheetId="0"/>
      <sheetData sheetId="1"/>
      <sheetData sheetId="2"/>
      <sheetData sheetId="3">
        <row r="6">
          <cell r="A6" t="str">
            <v>A2124015213111</v>
          </cell>
          <cell r="K6">
            <v>57207.099999999795</v>
          </cell>
        </row>
        <row r="7">
          <cell r="A7" t="str">
            <v>A2124015213121</v>
          </cell>
          <cell r="K7">
            <v>1281.3900000001311</v>
          </cell>
        </row>
        <row r="8">
          <cell r="A8" t="str">
            <v>A2124015213132</v>
          </cell>
          <cell r="K8">
            <v>9718.8099999998394</v>
          </cell>
        </row>
        <row r="9">
          <cell r="A9" t="str">
            <v>A2124015213211</v>
          </cell>
          <cell r="K9">
            <v>812</v>
          </cell>
        </row>
        <row r="10">
          <cell r="A10" t="str">
            <v>A2124015213212</v>
          </cell>
          <cell r="K10">
            <v>1025.439999999993</v>
          </cell>
        </row>
        <row r="11">
          <cell r="A11" t="str">
            <v>A2124015213213</v>
          </cell>
          <cell r="K11">
            <v>0</v>
          </cell>
        </row>
        <row r="12">
          <cell r="A12" t="str">
            <v>A2124015213214</v>
          </cell>
          <cell r="K12">
            <v>476</v>
          </cell>
        </row>
        <row r="13">
          <cell r="A13" t="str">
            <v>A2124015213221</v>
          </cell>
          <cell r="K13">
            <v>1130.8300000000031</v>
          </cell>
        </row>
        <row r="14">
          <cell r="A14" t="str">
            <v>A2124015213222</v>
          </cell>
          <cell r="K14">
            <v>0</v>
          </cell>
        </row>
        <row r="15">
          <cell r="A15" t="str">
            <v>A2124015213231</v>
          </cell>
          <cell r="K15">
            <v>52.4</v>
          </cell>
        </row>
        <row r="16">
          <cell r="A16" t="str">
            <v>A2124015213235</v>
          </cell>
          <cell r="K16">
            <v>0</v>
          </cell>
        </row>
        <row r="17">
          <cell r="A17" t="str">
            <v>A2124015213237</v>
          </cell>
          <cell r="K17">
            <v>0</v>
          </cell>
        </row>
        <row r="18">
          <cell r="A18" t="str">
            <v>A2124015213239</v>
          </cell>
          <cell r="K18">
            <v>97.5</v>
          </cell>
        </row>
        <row r="19">
          <cell r="A19" t="str">
            <v>A2124015213293</v>
          </cell>
          <cell r="K19">
            <v>444.31</v>
          </cell>
        </row>
        <row r="20">
          <cell r="A20" t="str">
            <v>A2124011123111</v>
          </cell>
          <cell r="K20">
            <v>6929526.4500000002</v>
          </cell>
        </row>
        <row r="21">
          <cell r="A21" t="str">
            <v>A2124011123121</v>
          </cell>
          <cell r="K21">
            <v>621103.56999999995</v>
          </cell>
        </row>
        <row r="22">
          <cell r="A22" t="str">
            <v>A2124011123132</v>
          </cell>
          <cell r="K22">
            <v>1107272.56</v>
          </cell>
        </row>
        <row r="23">
          <cell r="A23" t="str">
            <v>A2124011123212</v>
          </cell>
          <cell r="K23">
            <v>156356.81</v>
          </cell>
        </row>
        <row r="24">
          <cell r="A24" t="str">
            <v>A2124011123213</v>
          </cell>
          <cell r="K24">
            <v>6823.4</v>
          </cell>
        </row>
        <row r="25">
          <cell r="A25" t="str">
            <v>A2124011123221</v>
          </cell>
          <cell r="K25">
            <v>3000</v>
          </cell>
        </row>
        <row r="26">
          <cell r="A26" t="str">
            <v>A2124011123222</v>
          </cell>
          <cell r="K26">
            <v>23808.65</v>
          </cell>
        </row>
        <row r="27">
          <cell r="A27" t="str">
            <v>A2124011123223</v>
          </cell>
          <cell r="K27">
            <v>215083.56</v>
          </cell>
        </row>
        <row r="28">
          <cell r="A28" t="str">
            <v>A2124011123224</v>
          </cell>
          <cell r="K28">
            <v>906.06</v>
          </cell>
        </row>
        <row r="29">
          <cell r="A29" t="str">
            <v>A2124011123231</v>
          </cell>
          <cell r="K29">
            <v>4000</v>
          </cell>
        </row>
        <row r="30">
          <cell r="A30" t="str">
            <v>A2124011123232</v>
          </cell>
          <cell r="K30">
            <v>3964.74</v>
          </cell>
        </row>
        <row r="31">
          <cell r="A31" t="str">
            <v>A2124011123233</v>
          </cell>
          <cell r="K31">
            <v>0</v>
          </cell>
        </row>
        <row r="32">
          <cell r="A32" t="str">
            <v>A2124011123234</v>
          </cell>
          <cell r="K32">
            <v>81615.649999999994</v>
          </cell>
        </row>
        <row r="33">
          <cell r="A33" t="str">
            <v>A2124011123235</v>
          </cell>
          <cell r="K33">
            <v>29745.94</v>
          </cell>
        </row>
        <row r="34">
          <cell r="A34" t="str">
            <v>A2124011123236</v>
          </cell>
          <cell r="K34">
            <v>13780</v>
          </cell>
        </row>
        <row r="35">
          <cell r="A35" t="str">
            <v>A2124011123237</v>
          </cell>
          <cell r="K35">
            <v>11628.88</v>
          </cell>
        </row>
        <row r="36">
          <cell r="A36" t="str">
            <v>A2124011123238</v>
          </cell>
          <cell r="K36">
            <v>50000</v>
          </cell>
        </row>
        <row r="37">
          <cell r="A37" t="str">
            <v>A2124011123239</v>
          </cell>
          <cell r="K37">
            <v>0</v>
          </cell>
        </row>
        <row r="38">
          <cell r="A38" t="str">
            <v>A2124011123291</v>
          </cell>
          <cell r="K38">
            <v>1297.25</v>
          </cell>
        </row>
        <row r="39">
          <cell r="A39" t="str">
            <v>A2124011123292</v>
          </cell>
          <cell r="K39">
            <v>24824.87</v>
          </cell>
        </row>
        <row r="40">
          <cell r="A40" t="str">
            <v>A2124011123431</v>
          </cell>
          <cell r="K40">
            <v>1000</v>
          </cell>
        </row>
        <row r="41">
          <cell r="A41" t="str">
            <v>A2124014313211</v>
          </cell>
          <cell r="K41">
            <v>2581.08</v>
          </cell>
        </row>
        <row r="42">
          <cell r="A42" t="str">
            <v>A2124014313213</v>
          </cell>
          <cell r="K42">
            <v>480</v>
          </cell>
        </row>
        <row r="43">
          <cell r="A43" t="str">
            <v>A2124014313221</v>
          </cell>
          <cell r="K43">
            <v>27743.02</v>
          </cell>
        </row>
        <row r="44">
          <cell r="A44" t="str">
            <v>A2124014313222</v>
          </cell>
          <cell r="K44">
            <v>5208.2299999999996</v>
          </cell>
        </row>
        <row r="45">
          <cell r="A45" t="str">
            <v>A2124014313224</v>
          </cell>
          <cell r="K45">
            <v>13721.75</v>
          </cell>
        </row>
        <row r="46">
          <cell r="A46" t="str">
            <v>A2124014313225</v>
          </cell>
          <cell r="K46">
            <v>502.1</v>
          </cell>
        </row>
        <row r="47">
          <cell r="A47" t="str">
            <v>A2124014313227</v>
          </cell>
          <cell r="K47">
            <v>0</v>
          </cell>
        </row>
        <row r="48">
          <cell r="A48" t="str">
            <v>A2124014313231</v>
          </cell>
          <cell r="K48">
            <v>23222.16</v>
          </cell>
        </row>
        <row r="49">
          <cell r="A49" t="str">
            <v>A2124014313232</v>
          </cell>
          <cell r="K49">
            <v>36974.36</v>
          </cell>
        </row>
        <row r="50">
          <cell r="A50" t="str">
            <v>A2124014313233</v>
          </cell>
          <cell r="K50">
            <v>324.66000000000003</v>
          </cell>
        </row>
        <row r="51">
          <cell r="A51" t="str">
            <v>A2124014313234</v>
          </cell>
          <cell r="K51">
            <v>0</v>
          </cell>
        </row>
        <row r="52">
          <cell r="A52" t="str">
            <v>A2124014313235</v>
          </cell>
          <cell r="K52">
            <v>89010.57</v>
          </cell>
        </row>
        <row r="53">
          <cell r="A53" t="str">
            <v>A2124014313237</v>
          </cell>
          <cell r="K53">
            <v>14371.21</v>
          </cell>
        </row>
        <row r="54">
          <cell r="A54" t="str">
            <v>A2124014313238</v>
          </cell>
          <cell r="K54">
            <v>38043.83</v>
          </cell>
        </row>
        <row r="55">
          <cell r="A55" t="str">
            <v>A2124014313239</v>
          </cell>
          <cell r="K55">
            <v>55972.67</v>
          </cell>
        </row>
        <row r="56">
          <cell r="A56" t="str">
            <v>A2124014313291</v>
          </cell>
          <cell r="K56">
            <v>0</v>
          </cell>
        </row>
        <row r="57">
          <cell r="A57" t="str">
            <v>A2124014313292</v>
          </cell>
          <cell r="K57">
            <v>2923.76</v>
          </cell>
        </row>
        <row r="58">
          <cell r="A58" t="str">
            <v>A2124014313293</v>
          </cell>
          <cell r="K58">
            <v>6090.69</v>
          </cell>
        </row>
        <row r="59">
          <cell r="A59" t="str">
            <v>A2124014313294</v>
          </cell>
          <cell r="K59">
            <v>2329.94</v>
          </cell>
        </row>
        <row r="60">
          <cell r="A60" t="str">
            <v>A2124014313295</v>
          </cell>
          <cell r="K60">
            <v>10419.06</v>
          </cell>
        </row>
        <row r="61">
          <cell r="A61" t="str">
            <v>A2124014313299</v>
          </cell>
          <cell r="K61">
            <v>1390.07</v>
          </cell>
        </row>
        <row r="62">
          <cell r="A62" t="str">
            <v>A2124014313431</v>
          </cell>
          <cell r="K62">
            <v>6966.45</v>
          </cell>
        </row>
        <row r="63">
          <cell r="A63" t="str">
            <v>A2124014313433</v>
          </cell>
          <cell r="K63">
            <v>213.91</v>
          </cell>
        </row>
        <row r="64">
          <cell r="A64" t="str">
            <v>A2124013113239</v>
          </cell>
          <cell r="K64">
            <v>0</v>
          </cell>
        </row>
        <row r="65">
          <cell r="A65" t="str">
            <v>A2124015213111</v>
          </cell>
          <cell r="K65">
            <v>229131.98</v>
          </cell>
        </row>
        <row r="66">
          <cell r="A66" t="str">
            <v>A2124015213121</v>
          </cell>
          <cell r="K66">
            <v>32937.32</v>
          </cell>
        </row>
        <row r="67">
          <cell r="A67" t="str">
            <v>A2124015213132</v>
          </cell>
          <cell r="K67">
            <v>38557.32</v>
          </cell>
        </row>
        <row r="68">
          <cell r="A68" t="str">
            <v>A2124015213212</v>
          </cell>
          <cell r="K68">
            <v>5059.9399999999996</v>
          </cell>
        </row>
        <row r="69">
          <cell r="A69" t="str">
            <v>A2124015213213</v>
          </cell>
          <cell r="K69">
            <v>0</v>
          </cell>
        </row>
        <row r="70">
          <cell r="A70" t="str">
            <v>A2124015213221</v>
          </cell>
          <cell r="K70">
            <v>792.72</v>
          </cell>
        </row>
        <row r="71">
          <cell r="A71" t="str">
            <v>A2124015213222</v>
          </cell>
          <cell r="K71">
            <v>767.16</v>
          </cell>
        </row>
        <row r="72">
          <cell r="A72" t="str">
            <v>A2124015213223</v>
          </cell>
          <cell r="K72">
            <v>6576.97</v>
          </cell>
        </row>
        <row r="73">
          <cell r="A73" t="str">
            <v>A2124015213224</v>
          </cell>
          <cell r="K73">
            <v>0</v>
          </cell>
        </row>
        <row r="74">
          <cell r="A74" t="str">
            <v>A2124015213225</v>
          </cell>
          <cell r="K74">
            <v>0</v>
          </cell>
        </row>
        <row r="75">
          <cell r="A75" t="str">
            <v>A2124015213227</v>
          </cell>
          <cell r="K75">
            <v>0</v>
          </cell>
        </row>
        <row r="76">
          <cell r="A76" t="str">
            <v>A2124015213231</v>
          </cell>
          <cell r="K76">
            <v>519.73</v>
          </cell>
        </row>
        <row r="77">
          <cell r="A77" t="str">
            <v>A2124015213232</v>
          </cell>
          <cell r="K77">
            <v>5012.99</v>
          </cell>
        </row>
        <row r="78">
          <cell r="A78" t="str">
            <v>A2124015213234</v>
          </cell>
          <cell r="K78">
            <v>3922.71</v>
          </cell>
        </row>
        <row r="79">
          <cell r="A79" t="str">
            <v>A2124015213235</v>
          </cell>
          <cell r="K79">
            <v>0</v>
          </cell>
        </row>
        <row r="80">
          <cell r="A80" t="str">
            <v>A2124015213236</v>
          </cell>
          <cell r="K80">
            <v>0</v>
          </cell>
        </row>
        <row r="81">
          <cell r="A81" t="str">
            <v>A2124015213237</v>
          </cell>
          <cell r="K81">
            <v>0</v>
          </cell>
        </row>
        <row r="82">
          <cell r="A82" t="str">
            <v>A2124015213238</v>
          </cell>
          <cell r="K82">
            <v>123.55</v>
          </cell>
        </row>
        <row r="83">
          <cell r="A83" t="str">
            <v>A2124015213239</v>
          </cell>
          <cell r="K83">
            <v>894.53</v>
          </cell>
        </row>
        <row r="84">
          <cell r="A84" t="str">
            <v>A2124015213292</v>
          </cell>
          <cell r="K84">
            <v>1668.05</v>
          </cell>
        </row>
        <row r="85">
          <cell r="A85" t="str">
            <v>A2124015213293</v>
          </cell>
          <cell r="K85">
            <v>118.15</v>
          </cell>
        </row>
        <row r="86">
          <cell r="A86" t="str">
            <v>A2124015213295</v>
          </cell>
          <cell r="K86">
            <v>127.38</v>
          </cell>
        </row>
        <row r="87">
          <cell r="A87" t="str">
            <v>A2124015213299</v>
          </cell>
          <cell r="K87">
            <v>40.5</v>
          </cell>
        </row>
        <row r="88">
          <cell r="A88" t="str">
            <v>A2124015213431</v>
          </cell>
          <cell r="K88">
            <v>0</v>
          </cell>
        </row>
        <row r="89">
          <cell r="A89" t="str">
            <v>A2124015213433</v>
          </cell>
          <cell r="K89">
            <v>0</v>
          </cell>
        </row>
        <row r="90">
          <cell r="A90" t="str">
            <v>A2124015213213</v>
          </cell>
          <cell r="K90">
            <v>0</v>
          </cell>
        </row>
        <row r="91">
          <cell r="A91" t="str">
            <v>A2124015213232</v>
          </cell>
          <cell r="K91">
            <v>2729.34</v>
          </cell>
        </row>
        <row r="92">
          <cell r="A92" t="str">
            <v>A2124015213235</v>
          </cell>
          <cell r="K92">
            <v>1809.25</v>
          </cell>
        </row>
        <row r="93">
          <cell r="A93" t="str">
            <v>A2124015213239</v>
          </cell>
          <cell r="K93">
            <v>789.31</v>
          </cell>
        </row>
        <row r="94">
          <cell r="A94" t="str">
            <v>A2124015413221</v>
          </cell>
          <cell r="K94">
            <v>0</v>
          </cell>
        </row>
        <row r="95">
          <cell r="A95" t="str">
            <v>A2124015413222</v>
          </cell>
          <cell r="K95">
            <v>39.99</v>
          </cell>
        </row>
        <row r="96">
          <cell r="A96" t="str">
            <v>A2124015413225</v>
          </cell>
          <cell r="K96">
            <v>268.10000000000002</v>
          </cell>
        </row>
        <row r="97">
          <cell r="A97" t="str">
            <v>A2124015413293</v>
          </cell>
          <cell r="K97">
            <v>0</v>
          </cell>
        </row>
        <row r="98">
          <cell r="A98" t="str">
            <v>A2124025613211</v>
          </cell>
          <cell r="K98">
            <v>18042.53</v>
          </cell>
        </row>
        <row r="99">
          <cell r="A99" t="str">
            <v>A2124025613213</v>
          </cell>
          <cell r="K99">
            <v>2150</v>
          </cell>
        </row>
        <row r="100">
          <cell r="A100" t="str">
            <v>A2124025613233</v>
          </cell>
          <cell r="K100">
            <v>0</v>
          </cell>
        </row>
        <row r="101">
          <cell r="A101" t="str">
            <v>A2124025613293</v>
          </cell>
          <cell r="K101">
            <v>195.57</v>
          </cell>
        </row>
        <row r="102">
          <cell r="A102" t="str">
            <v>K2124015214241</v>
          </cell>
          <cell r="K102">
            <v>211696.38000000012</v>
          </cell>
        </row>
        <row r="103">
          <cell r="A103" t="str">
            <v>K2124015214241</v>
          </cell>
          <cell r="K103">
            <v>157100.06</v>
          </cell>
        </row>
        <row r="104">
          <cell r="A104" t="str">
            <v>K2124011124221</v>
          </cell>
          <cell r="K104">
            <v>25683.53</v>
          </cell>
        </row>
        <row r="105">
          <cell r="A105" t="str">
            <v>K2124011124223</v>
          </cell>
          <cell r="K105">
            <v>0</v>
          </cell>
        </row>
        <row r="106">
          <cell r="A106" t="str">
            <v>K2124011124231</v>
          </cell>
          <cell r="K106">
            <v>0</v>
          </cell>
        </row>
        <row r="107">
          <cell r="A107" t="str">
            <v>K2124011124241</v>
          </cell>
          <cell r="K107">
            <v>541720.28</v>
          </cell>
        </row>
        <row r="108">
          <cell r="A108" t="str">
            <v>K2124011124262</v>
          </cell>
          <cell r="K108">
            <v>0</v>
          </cell>
        </row>
        <row r="109">
          <cell r="A109" t="str">
            <v>K2124011124511</v>
          </cell>
          <cell r="K109">
            <v>0</v>
          </cell>
        </row>
        <row r="110">
          <cell r="A110" t="str">
            <v>K2124014314221</v>
          </cell>
          <cell r="K110">
            <v>32651.56</v>
          </cell>
        </row>
        <row r="111">
          <cell r="A111" t="str">
            <v>K2124014314223</v>
          </cell>
          <cell r="K111">
            <v>425</v>
          </cell>
        </row>
        <row r="112">
          <cell r="A112" t="str">
            <v>K2124014314231</v>
          </cell>
          <cell r="K112">
            <v>1500</v>
          </cell>
        </row>
        <row r="113">
          <cell r="A113" t="str">
            <v>K2124014314241</v>
          </cell>
          <cell r="K113">
            <v>0</v>
          </cell>
        </row>
        <row r="114">
          <cell r="A114" t="str">
            <v>K2124014314262</v>
          </cell>
          <cell r="K114">
            <v>0</v>
          </cell>
        </row>
        <row r="115">
          <cell r="A115" t="str">
            <v>K2124015214241</v>
          </cell>
          <cell r="K115">
            <v>12542.13</v>
          </cell>
        </row>
        <row r="116">
          <cell r="A116" t="str">
            <v>K2124015214241</v>
          </cell>
          <cell r="K116">
            <v>9995.07</v>
          </cell>
        </row>
        <row r="117">
          <cell r="A117" t="str">
            <v>K2124016114241</v>
          </cell>
          <cell r="K117">
            <v>0</v>
          </cell>
        </row>
        <row r="118">
          <cell r="A118" t="str">
            <v>K2124017114221</v>
          </cell>
          <cell r="K118">
            <v>0</v>
          </cell>
        </row>
        <row r="119">
          <cell r="A119" t="str">
            <v>K2124015414221</v>
          </cell>
          <cell r="K119">
            <v>1956.310000000004</v>
          </cell>
        </row>
        <row r="120">
          <cell r="A120" t="str">
            <v>K2124015414262</v>
          </cell>
          <cell r="K120">
            <v>145.97999999999999</v>
          </cell>
        </row>
        <row r="121">
          <cell r="A121" t="str">
            <v>K2124016114221</v>
          </cell>
          <cell r="K121">
            <v>149</v>
          </cell>
        </row>
        <row r="122">
          <cell r="A122" t="str">
            <v>A2124025213211</v>
          </cell>
          <cell r="K122">
            <v>1705.79</v>
          </cell>
        </row>
        <row r="123">
          <cell r="A123" t="str">
            <v>A2124025213213</v>
          </cell>
          <cell r="K123">
            <v>1395</v>
          </cell>
        </row>
        <row r="124">
          <cell r="A124" t="str">
            <v>A2124025213222</v>
          </cell>
          <cell r="K124">
            <v>0</v>
          </cell>
        </row>
        <row r="125">
          <cell r="A125" t="str">
            <v>A2124025213233</v>
          </cell>
          <cell r="K125">
            <v>64.8</v>
          </cell>
        </row>
        <row r="126">
          <cell r="A126" t="str">
            <v>A2124025213237</v>
          </cell>
          <cell r="K126">
            <v>9560.73</v>
          </cell>
        </row>
        <row r="127">
          <cell r="A127" t="str">
            <v>A2124025213238</v>
          </cell>
          <cell r="K127">
            <v>82.5</v>
          </cell>
        </row>
        <row r="128">
          <cell r="A128" t="str">
            <v>A2124025213239</v>
          </cell>
          <cell r="K128">
            <v>3106.96</v>
          </cell>
        </row>
        <row r="129">
          <cell r="A129" t="str">
            <v>A2124025213241</v>
          </cell>
          <cell r="K129">
            <v>0</v>
          </cell>
        </row>
        <row r="130">
          <cell r="A130" t="str">
            <v>A2124025213293</v>
          </cell>
          <cell r="K130">
            <v>149.72</v>
          </cell>
        </row>
        <row r="131">
          <cell r="A131" t="str">
            <v>A2124025213294</v>
          </cell>
          <cell r="K131">
            <v>2000</v>
          </cell>
        </row>
        <row r="132">
          <cell r="A132" t="str">
            <v>A2124021123221</v>
          </cell>
          <cell r="K132">
            <v>51967.26</v>
          </cell>
        </row>
        <row r="133">
          <cell r="A133" t="str">
            <v>A2124021123222</v>
          </cell>
          <cell r="K133">
            <v>1442.34</v>
          </cell>
        </row>
        <row r="134">
          <cell r="A134" t="str">
            <v>A2124021123233</v>
          </cell>
          <cell r="K134">
            <v>0</v>
          </cell>
        </row>
        <row r="135">
          <cell r="A135" t="str">
            <v>A2124021123237</v>
          </cell>
          <cell r="K135">
            <v>28775.84</v>
          </cell>
        </row>
        <row r="136">
          <cell r="A136" t="str">
            <v>A2124021123238</v>
          </cell>
          <cell r="K136">
            <v>0</v>
          </cell>
        </row>
        <row r="137">
          <cell r="A137" t="str">
            <v>A2124021123239</v>
          </cell>
          <cell r="K137">
            <v>6322.74</v>
          </cell>
        </row>
        <row r="138">
          <cell r="A138" t="str">
            <v>A2124021123293</v>
          </cell>
          <cell r="K138">
            <v>0</v>
          </cell>
        </row>
        <row r="139">
          <cell r="A139" t="str">
            <v>A2124024313211</v>
          </cell>
          <cell r="K139">
            <v>11071.82</v>
          </cell>
        </row>
        <row r="140">
          <cell r="A140" t="str">
            <v>A2124024313213</v>
          </cell>
          <cell r="K140">
            <v>1401.47</v>
          </cell>
        </row>
        <row r="141">
          <cell r="A141" t="str">
            <v>A2124024313221</v>
          </cell>
          <cell r="K141">
            <v>1667.43</v>
          </cell>
        </row>
        <row r="142">
          <cell r="A142" t="str">
            <v>A2124024313222</v>
          </cell>
          <cell r="K142">
            <v>807.99</v>
          </cell>
        </row>
        <row r="143">
          <cell r="A143" t="str">
            <v>A2124025213223</v>
          </cell>
          <cell r="K143">
            <v>0</v>
          </cell>
        </row>
        <row r="144">
          <cell r="A144" t="str">
            <v>A2124024313225</v>
          </cell>
          <cell r="K144">
            <v>405.5</v>
          </cell>
        </row>
        <row r="145">
          <cell r="A145" t="str">
            <v>A2124024313231</v>
          </cell>
          <cell r="K145">
            <v>9.2899999999999991</v>
          </cell>
        </row>
        <row r="146">
          <cell r="A146" t="str">
            <v>A2124024313233</v>
          </cell>
          <cell r="K146">
            <v>0</v>
          </cell>
        </row>
        <row r="147">
          <cell r="A147" t="str">
            <v>A2124024313237</v>
          </cell>
          <cell r="K147">
            <v>14398.11</v>
          </cell>
        </row>
        <row r="148">
          <cell r="A148" t="str">
            <v>A2124024313238</v>
          </cell>
          <cell r="K148">
            <v>0</v>
          </cell>
        </row>
        <row r="149">
          <cell r="A149" t="str">
            <v>A2124024313239</v>
          </cell>
          <cell r="K149">
            <v>1188.22</v>
          </cell>
        </row>
        <row r="150">
          <cell r="A150" t="str">
            <v>A2124024313293</v>
          </cell>
          <cell r="K150">
            <v>1124.01</v>
          </cell>
        </row>
        <row r="151">
          <cell r="A151" t="str">
            <v>A2124025103211</v>
          </cell>
          <cell r="K151">
            <v>0</v>
          </cell>
        </row>
        <row r="152">
          <cell r="A152" t="str">
            <v>A2124025103213</v>
          </cell>
          <cell r="K152">
            <v>0</v>
          </cell>
        </row>
        <row r="153">
          <cell r="A153" t="str">
            <v>A2124025103233</v>
          </cell>
          <cell r="K153">
            <v>0</v>
          </cell>
        </row>
        <row r="154">
          <cell r="A154" t="str">
            <v>A2124025103237</v>
          </cell>
          <cell r="K154">
            <v>0</v>
          </cell>
        </row>
        <row r="155">
          <cell r="A155" t="str">
            <v>A2124025103293</v>
          </cell>
          <cell r="K155">
            <v>0</v>
          </cell>
        </row>
        <row r="156">
          <cell r="A156" t="str">
            <v>A2124025213237</v>
          </cell>
          <cell r="K156">
            <v>0</v>
          </cell>
        </row>
        <row r="157">
          <cell r="A157" t="str">
            <v>A2124025213239</v>
          </cell>
          <cell r="K157">
            <v>0</v>
          </cell>
        </row>
        <row r="158">
          <cell r="A158" t="str">
            <v>A2124025213211</v>
          </cell>
          <cell r="K158">
            <v>0</v>
          </cell>
        </row>
        <row r="159">
          <cell r="A159" t="str">
            <v>A2124025213237</v>
          </cell>
          <cell r="K159">
            <v>675</v>
          </cell>
        </row>
        <row r="160">
          <cell r="A160" t="str">
            <v>A2124025213239</v>
          </cell>
          <cell r="K160">
            <v>362.5</v>
          </cell>
        </row>
        <row r="161">
          <cell r="A161" t="str">
            <v>A2124025213293</v>
          </cell>
          <cell r="K161">
            <v>25</v>
          </cell>
        </row>
        <row r="162">
          <cell r="A162" t="str">
            <v>A2124025413221</v>
          </cell>
          <cell r="K162">
            <v>10.5</v>
          </cell>
        </row>
        <row r="163">
          <cell r="A163" t="str">
            <v>A2124025413237</v>
          </cell>
          <cell r="K163">
            <v>730.64</v>
          </cell>
        </row>
        <row r="164">
          <cell r="A164" t="str">
            <v>A2124025413239</v>
          </cell>
          <cell r="K164">
            <v>343.75</v>
          </cell>
        </row>
        <row r="165">
          <cell r="A165" t="str">
            <v>A2124025623211</v>
          </cell>
          <cell r="K165">
            <v>0</v>
          </cell>
        </row>
        <row r="166">
          <cell r="A166" t="str">
            <v>A2124025623222</v>
          </cell>
          <cell r="K166">
            <v>0</v>
          </cell>
        </row>
        <row r="167">
          <cell r="A167" t="str">
            <v>A2124025623233</v>
          </cell>
          <cell r="K167">
            <v>0</v>
          </cell>
        </row>
        <row r="168">
          <cell r="A168" t="str">
            <v>A2124025623237</v>
          </cell>
          <cell r="K168">
            <v>0</v>
          </cell>
        </row>
        <row r="169">
          <cell r="A169" t="str">
            <v>A2124025623239</v>
          </cell>
          <cell r="K169">
            <v>0</v>
          </cell>
        </row>
        <row r="170">
          <cell r="A170" t="str">
            <v>A2124025623293</v>
          </cell>
          <cell r="K170">
            <v>0</v>
          </cell>
        </row>
        <row r="171">
          <cell r="A171" t="str">
            <v>A2124025624221</v>
          </cell>
          <cell r="K171">
            <v>0</v>
          </cell>
        </row>
        <row r="172">
          <cell r="A172" t="str">
            <v>A2124025413237</v>
          </cell>
          <cell r="K172">
            <v>0</v>
          </cell>
        </row>
        <row r="173">
          <cell r="A173" t="str">
            <v>A2124041123235</v>
          </cell>
          <cell r="K173">
            <v>61189.23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shodi"/>
      <sheetName val="Prihodi"/>
      <sheetName val="Rashodi_2026_RI_Kopija_01"/>
      <sheetName val="Rashodi_2026_RI"/>
      <sheetName val="Realiiz. po kontima i Izvorima"/>
      <sheetName val="Zahtjevi_2026"/>
      <sheetName val="Zahtjevi_2026_S"/>
      <sheetName val="Po mjesecu"/>
      <sheetName val="Po vrsti zahtjeva"/>
      <sheetName val="Po kontima"/>
      <sheetName val="Po kontima_KGZ-a"/>
      <sheetName val="Plan po kontima i Izvorima"/>
      <sheetName val="Aktivnost-Izvor"/>
      <sheetName val="Rashodi_DM"/>
      <sheetName val="Po izvorima"/>
      <sheetName val="Plan_Prihoda_2025"/>
      <sheetName val="Prihodi_DM"/>
      <sheetName val="Šifarnici"/>
      <sheetName val="SYS"/>
      <sheetName val="3-4"/>
    </sheetNames>
    <sheetDataSet>
      <sheetData sheetId="0"/>
      <sheetData sheetId="1"/>
      <sheetData sheetId="2"/>
      <sheetData sheetId="3">
        <row r="18">
          <cell r="A18" t="str">
            <v>A2124011123111</v>
          </cell>
          <cell r="B18" t="str">
            <v>3</v>
          </cell>
          <cell r="C18" t="str">
            <v>31</v>
          </cell>
          <cell r="D18" t="str">
            <v>311</v>
          </cell>
          <cell r="E18" t="str">
            <v>A212401</v>
          </cell>
          <cell r="F18">
            <v>112</v>
          </cell>
          <cell r="G18" t="str">
            <v>3111</v>
          </cell>
          <cell r="H18" t="str">
            <v>R0195777</v>
          </cell>
          <cell r="I18" t="str">
            <v>PR00001</v>
          </cell>
          <cell r="J18" t="str">
            <v>Plaće za redovan rad</v>
          </cell>
          <cell r="L18">
            <v>14682100</v>
          </cell>
          <cell r="M18">
            <v>15652100</v>
          </cell>
          <cell r="N18">
            <v>14682100</v>
          </cell>
          <cell r="O18">
            <v>7344009.79</v>
          </cell>
          <cell r="P18">
            <v>7344009.79</v>
          </cell>
          <cell r="Q18">
            <v>0</v>
          </cell>
          <cell r="R18">
            <v>14682100</v>
          </cell>
          <cell r="S18" t="str">
            <v>A212401112</v>
          </cell>
          <cell r="T18" t="str">
            <v>3111</v>
          </cell>
          <cell r="U18">
            <v>8573946.3200000003</v>
          </cell>
          <cell r="V18">
            <v>0</v>
          </cell>
          <cell r="W18">
            <v>1229936.53</v>
          </cell>
          <cell r="X18">
            <v>7344009.79</v>
          </cell>
          <cell r="Y18">
            <v>0</v>
          </cell>
          <cell r="Z18">
            <v>7</v>
          </cell>
        </row>
        <row r="19">
          <cell r="A19" t="str">
            <v>A2124011123121</v>
          </cell>
          <cell r="B19" t="str">
            <v>3</v>
          </cell>
          <cell r="C19" t="str">
            <v>31</v>
          </cell>
          <cell r="D19" t="str">
            <v>312</v>
          </cell>
          <cell r="E19" t="str">
            <v>A212401</v>
          </cell>
          <cell r="F19">
            <v>112</v>
          </cell>
          <cell r="G19" t="str">
            <v>3121</v>
          </cell>
          <cell r="H19" t="str">
            <v>R0195780</v>
          </cell>
          <cell r="I19" t="str">
            <v>PR00002</v>
          </cell>
          <cell r="J19" t="str">
            <v>Ostali rashodi za zaposlene</v>
          </cell>
          <cell r="L19">
            <v>1050300</v>
          </cell>
          <cell r="M19">
            <v>1410300</v>
          </cell>
          <cell r="N19">
            <v>1050300</v>
          </cell>
          <cell r="O19">
            <v>719085.75999999989</v>
          </cell>
          <cell r="P19">
            <v>719085.75999999989</v>
          </cell>
          <cell r="Q19">
            <v>0</v>
          </cell>
          <cell r="R19">
            <v>1050300</v>
          </cell>
          <cell r="S19" t="str">
            <v>A212401112</v>
          </cell>
          <cell r="T19" t="str">
            <v>3121</v>
          </cell>
          <cell r="U19">
            <v>801757.62</v>
          </cell>
          <cell r="V19">
            <v>0</v>
          </cell>
          <cell r="W19">
            <v>68185.929999999993</v>
          </cell>
          <cell r="X19">
            <v>719085.75999999989</v>
          </cell>
          <cell r="Y19">
            <v>14485.93</v>
          </cell>
          <cell r="Z19">
            <v>32</v>
          </cell>
        </row>
        <row r="20">
          <cell r="A20" t="str">
            <v>A2124011123132</v>
          </cell>
          <cell r="B20" t="str">
            <v>3</v>
          </cell>
          <cell r="C20" t="str">
            <v>31</v>
          </cell>
          <cell r="D20" t="str">
            <v>313</v>
          </cell>
          <cell r="E20" t="str">
            <v>A212401</v>
          </cell>
          <cell r="F20">
            <v>112</v>
          </cell>
          <cell r="G20" t="str">
            <v>3132</v>
          </cell>
          <cell r="H20" t="str">
            <v>R0195782</v>
          </cell>
          <cell r="I20" t="str">
            <v>PR00003</v>
          </cell>
          <cell r="J20" t="str">
            <v>Doprinosi za obvezno zdravstveno osiguranje</v>
          </cell>
          <cell r="L20">
            <v>2333800</v>
          </cell>
          <cell r="M20">
            <v>2582600</v>
          </cell>
          <cell r="N20">
            <v>2333800</v>
          </cell>
          <cell r="O20">
            <v>1186803.58</v>
          </cell>
          <cell r="P20">
            <v>1186803.58</v>
          </cell>
          <cell r="Q20">
            <v>0</v>
          </cell>
          <cell r="R20">
            <v>2333800</v>
          </cell>
          <cell r="S20" t="str">
            <v>A212401112</v>
          </cell>
          <cell r="T20" t="str">
            <v>3132</v>
          </cell>
          <cell r="U20">
            <v>1384533.2200000002</v>
          </cell>
          <cell r="V20">
            <v>0</v>
          </cell>
          <cell r="W20">
            <v>197729.64</v>
          </cell>
          <cell r="X20">
            <v>1186803.58</v>
          </cell>
          <cell r="Y20">
            <v>0</v>
          </cell>
          <cell r="Z20">
            <v>7</v>
          </cell>
        </row>
        <row r="21">
          <cell r="A21" t="str">
            <v>A2124011123212</v>
          </cell>
          <cell r="B21" t="str">
            <v>3</v>
          </cell>
          <cell r="C21" t="str">
            <v>32</v>
          </cell>
          <cell r="D21" t="str">
            <v>321</v>
          </cell>
          <cell r="E21" t="str">
            <v>A212401</v>
          </cell>
          <cell r="F21">
            <v>112</v>
          </cell>
          <cell r="G21" t="str">
            <v>3212</v>
          </cell>
          <cell r="H21" t="str">
            <v>R0195785</v>
          </cell>
          <cell r="I21" t="str">
            <v>PR00006</v>
          </cell>
          <cell r="J21" t="str">
            <v>Naknade za prijevoz, za rad na terenu i odvojeni život</v>
          </cell>
          <cell r="L21">
            <v>347000</v>
          </cell>
          <cell r="M21">
            <v>382000</v>
          </cell>
          <cell r="N21">
            <v>347000</v>
          </cell>
          <cell r="O21">
            <v>154131.35999999999</v>
          </cell>
          <cell r="P21">
            <v>154131.35999999999</v>
          </cell>
          <cell r="Q21">
            <v>0</v>
          </cell>
          <cell r="R21">
            <v>347000</v>
          </cell>
          <cell r="S21" t="str">
            <v>A212401112</v>
          </cell>
          <cell r="T21" t="str">
            <v>3212</v>
          </cell>
          <cell r="U21">
            <v>154131.35999999999</v>
          </cell>
          <cell r="V21">
            <v>0</v>
          </cell>
          <cell r="W21">
            <v>0</v>
          </cell>
          <cell r="X21">
            <v>154131.35999999999</v>
          </cell>
          <cell r="Y21">
            <v>0</v>
          </cell>
          <cell r="Z21">
            <v>6</v>
          </cell>
        </row>
        <row r="22">
          <cell r="A22" t="str">
            <v>A2124011123213</v>
          </cell>
          <cell r="B22" t="str">
            <v>3</v>
          </cell>
          <cell r="C22" t="str">
            <v>32</v>
          </cell>
          <cell r="D22" t="str">
            <v>321</v>
          </cell>
          <cell r="E22" t="str">
            <v>A212401</v>
          </cell>
          <cell r="F22">
            <v>112</v>
          </cell>
          <cell r="G22" t="str">
            <v>3213</v>
          </cell>
          <cell r="H22" t="str">
            <v>R0195787</v>
          </cell>
          <cell r="I22" t="str">
            <v>PR00007</v>
          </cell>
          <cell r="J22" t="str">
            <v>Stručno usavršavanje zaposlenika</v>
          </cell>
          <cell r="L22">
            <v>40000</v>
          </cell>
          <cell r="M22">
            <v>81000</v>
          </cell>
          <cell r="N22">
            <v>40000</v>
          </cell>
          <cell r="O22">
            <v>6365.7699999999995</v>
          </cell>
          <cell r="P22">
            <v>6365.77</v>
          </cell>
          <cell r="Q22">
            <v>0</v>
          </cell>
          <cell r="R22">
            <v>40000</v>
          </cell>
          <cell r="S22" t="str">
            <v>A212401112</v>
          </cell>
          <cell r="T22" t="str">
            <v>3213</v>
          </cell>
          <cell r="U22">
            <v>6365.7699999999995</v>
          </cell>
          <cell r="V22">
            <v>0</v>
          </cell>
          <cell r="W22">
            <v>0</v>
          </cell>
          <cell r="X22">
            <v>6365.7699999999995</v>
          </cell>
          <cell r="Y22">
            <v>0</v>
          </cell>
          <cell r="Z22">
            <v>6</v>
          </cell>
        </row>
        <row r="23">
          <cell r="A23" t="str">
            <v>A2124011123221</v>
          </cell>
          <cell r="B23" t="str">
            <v>3</v>
          </cell>
          <cell r="C23" t="str">
            <v>32</v>
          </cell>
          <cell r="D23" t="str">
            <v>322</v>
          </cell>
          <cell r="E23" t="str">
            <v>A212401</v>
          </cell>
          <cell r="F23">
            <v>112</v>
          </cell>
          <cell r="G23" t="str">
            <v>3221</v>
          </cell>
          <cell r="H23" t="str">
            <v>R0195790</v>
          </cell>
          <cell r="I23" t="str">
            <v>PR00008</v>
          </cell>
          <cell r="J23" t="str">
            <v>Uredski materijal i ostali materijalni rashodi</v>
          </cell>
          <cell r="L23">
            <v>3000</v>
          </cell>
          <cell r="M23">
            <v>103000</v>
          </cell>
          <cell r="N23">
            <v>3000</v>
          </cell>
          <cell r="O23">
            <v>2999.9999999999995</v>
          </cell>
          <cell r="P23">
            <v>3000</v>
          </cell>
          <cell r="Q23">
            <v>0</v>
          </cell>
          <cell r="R23">
            <v>3000</v>
          </cell>
          <cell r="S23" t="str">
            <v>A212401112</v>
          </cell>
          <cell r="T23" t="str">
            <v>3221</v>
          </cell>
          <cell r="U23">
            <v>2999.9999999999995</v>
          </cell>
          <cell r="V23">
            <v>0</v>
          </cell>
          <cell r="W23">
            <v>0</v>
          </cell>
          <cell r="X23">
            <v>2999.9999999999995</v>
          </cell>
          <cell r="Y23">
            <v>0</v>
          </cell>
          <cell r="Z23">
            <v>11</v>
          </cell>
        </row>
        <row r="24">
          <cell r="A24" t="str">
            <v>A2124011123222</v>
          </cell>
          <cell r="B24" t="str">
            <v>3</v>
          </cell>
          <cell r="C24" t="str">
            <v>32</v>
          </cell>
          <cell r="D24" t="str">
            <v>322</v>
          </cell>
          <cell r="E24" t="str">
            <v>A212401</v>
          </cell>
          <cell r="F24">
            <v>112</v>
          </cell>
          <cell r="G24" t="str">
            <v>3222</v>
          </cell>
          <cell r="H24" t="str">
            <v>R0195792</v>
          </cell>
          <cell r="I24" t="str">
            <v>PR00009</v>
          </cell>
          <cell r="J24" t="str">
            <v>Materijal i sirovine</v>
          </cell>
          <cell r="L24">
            <v>49700</v>
          </cell>
          <cell r="M24">
            <v>49700</v>
          </cell>
          <cell r="N24">
            <v>49700</v>
          </cell>
          <cell r="O24">
            <v>29000.370000000003</v>
          </cell>
          <cell r="P24">
            <v>29000.37</v>
          </cell>
          <cell r="Q24">
            <v>0</v>
          </cell>
          <cell r="R24">
            <v>49700</v>
          </cell>
          <cell r="S24" t="str">
            <v>A212401112</v>
          </cell>
          <cell r="T24" t="str">
            <v>3222</v>
          </cell>
          <cell r="U24">
            <v>29000.370000000003</v>
          </cell>
          <cell r="V24">
            <v>0</v>
          </cell>
          <cell r="W24">
            <v>0</v>
          </cell>
          <cell r="X24">
            <v>29000.370000000003</v>
          </cell>
          <cell r="Y24">
            <v>0</v>
          </cell>
          <cell r="Z24">
            <v>6</v>
          </cell>
        </row>
        <row r="25">
          <cell r="A25" t="str">
            <v>A2124011123223</v>
          </cell>
          <cell r="B25" t="str">
            <v>3</v>
          </cell>
          <cell r="C25" t="str">
            <v>32</v>
          </cell>
          <cell r="D25" t="str">
            <v>322</v>
          </cell>
          <cell r="E25" t="str">
            <v>A212401</v>
          </cell>
          <cell r="F25">
            <v>112</v>
          </cell>
          <cell r="G25" t="str">
            <v>3223</v>
          </cell>
          <cell r="H25" t="str">
            <v>R0195794</v>
          </cell>
          <cell r="I25" t="str">
            <v>PR00010</v>
          </cell>
          <cell r="J25" t="str">
            <v>Energija</v>
          </cell>
          <cell r="L25">
            <v>420000</v>
          </cell>
          <cell r="M25">
            <v>425000</v>
          </cell>
          <cell r="N25">
            <v>420000</v>
          </cell>
          <cell r="O25">
            <v>180987.14</v>
          </cell>
          <cell r="P25">
            <v>180987.14</v>
          </cell>
          <cell r="Q25">
            <v>0</v>
          </cell>
          <cell r="R25">
            <v>420000</v>
          </cell>
          <cell r="S25" t="str">
            <v>A212401112</v>
          </cell>
          <cell r="T25" t="str">
            <v>3223</v>
          </cell>
          <cell r="U25">
            <v>180987.14</v>
          </cell>
          <cell r="V25">
            <v>0</v>
          </cell>
          <cell r="W25">
            <v>0</v>
          </cell>
          <cell r="X25">
            <v>180987.14</v>
          </cell>
          <cell r="Y25">
            <v>0</v>
          </cell>
          <cell r="Z25">
            <v>22</v>
          </cell>
        </row>
        <row r="26">
          <cell r="A26" t="str">
            <v>A2124011123224</v>
          </cell>
          <cell r="B26" t="str">
            <v>3</v>
          </cell>
          <cell r="C26" t="str">
            <v>32</v>
          </cell>
          <cell r="D26" t="str">
            <v>322</v>
          </cell>
          <cell r="E26" t="str">
            <v>A212401</v>
          </cell>
          <cell r="F26">
            <v>112</v>
          </cell>
          <cell r="G26" t="str">
            <v>3224</v>
          </cell>
          <cell r="H26" t="str">
            <v>R0195796</v>
          </cell>
          <cell r="I26" t="str">
            <v>PR00011</v>
          </cell>
          <cell r="J26" t="str">
            <v>Materijal i dijelovi za tekuće i investicijsko održavanje</v>
          </cell>
          <cell r="L26">
            <v>0</v>
          </cell>
          <cell r="M26">
            <v>10000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 t="str">
            <v>A212401112</v>
          </cell>
          <cell r="T26" t="str">
            <v>3224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A2124011123225</v>
          </cell>
          <cell r="B27" t="str">
            <v>3</v>
          </cell>
          <cell r="C27" t="str">
            <v>32</v>
          </cell>
          <cell r="D27" t="str">
            <v>322</v>
          </cell>
          <cell r="E27" t="str">
            <v>A212401</v>
          </cell>
          <cell r="F27">
            <v>112</v>
          </cell>
          <cell r="G27" t="str">
            <v>3225</v>
          </cell>
          <cell r="H27" t="str">
            <v>R0195798</v>
          </cell>
          <cell r="I27">
            <v>0</v>
          </cell>
          <cell r="J27" t="str">
            <v>Sitni inventar i autogume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 t="str">
            <v>A212401112</v>
          </cell>
          <cell r="T27" t="str">
            <v>3225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</row>
        <row r="28">
          <cell r="A28" t="str">
            <v>A2124011123231</v>
          </cell>
          <cell r="B28" t="str">
            <v>3</v>
          </cell>
          <cell r="C28" t="str">
            <v>32</v>
          </cell>
          <cell r="D28" t="str">
            <v>323</v>
          </cell>
          <cell r="E28" t="str">
            <v>A212401</v>
          </cell>
          <cell r="F28">
            <v>112</v>
          </cell>
          <cell r="G28" t="str">
            <v>3231</v>
          </cell>
          <cell r="H28" t="str">
            <v>R0195801</v>
          </cell>
          <cell r="I28" t="str">
            <v>PR00012</v>
          </cell>
          <cell r="J28" t="str">
            <v>Usluge telefona, interneta, pošte i prijevoza</v>
          </cell>
          <cell r="L28">
            <v>4000</v>
          </cell>
          <cell r="M28">
            <v>9000</v>
          </cell>
          <cell r="N28">
            <v>4000</v>
          </cell>
          <cell r="O28">
            <v>4000</v>
          </cell>
          <cell r="P28">
            <v>4000</v>
          </cell>
          <cell r="Q28">
            <v>0</v>
          </cell>
          <cell r="R28">
            <v>4000</v>
          </cell>
          <cell r="S28" t="str">
            <v>A212401112</v>
          </cell>
          <cell r="T28" t="str">
            <v>3231</v>
          </cell>
          <cell r="U28">
            <v>4000</v>
          </cell>
          <cell r="V28">
            <v>0</v>
          </cell>
          <cell r="W28">
            <v>0</v>
          </cell>
          <cell r="X28">
            <v>4000</v>
          </cell>
          <cell r="Y28">
            <v>0</v>
          </cell>
          <cell r="Z28">
            <v>4</v>
          </cell>
        </row>
        <row r="29">
          <cell r="A29" t="str">
            <v>A2124011123232</v>
          </cell>
          <cell r="B29" t="str">
            <v>3</v>
          </cell>
          <cell r="C29" t="str">
            <v>32</v>
          </cell>
          <cell r="D29" t="str">
            <v>323</v>
          </cell>
          <cell r="E29" t="str">
            <v>A212401</v>
          </cell>
          <cell r="F29">
            <v>112</v>
          </cell>
          <cell r="G29" t="str">
            <v>3232</v>
          </cell>
          <cell r="H29" t="str">
            <v>R0195803</v>
          </cell>
          <cell r="I29" t="str">
            <v>PR00138</v>
          </cell>
          <cell r="J29" t="str">
            <v>Usluge tekućeg i investicijskog  održavanja</v>
          </cell>
          <cell r="L29">
            <v>21000</v>
          </cell>
          <cell r="M29">
            <v>54800</v>
          </cell>
          <cell r="N29">
            <v>21000</v>
          </cell>
          <cell r="O29">
            <v>10526.52</v>
          </cell>
          <cell r="P29">
            <v>10526.52</v>
          </cell>
          <cell r="Q29">
            <v>0</v>
          </cell>
          <cell r="R29">
            <v>21000</v>
          </cell>
          <cell r="S29" t="str">
            <v>A212401112</v>
          </cell>
          <cell r="T29" t="str">
            <v>3232</v>
          </cell>
          <cell r="U29">
            <v>10526.52</v>
          </cell>
          <cell r="V29">
            <v>0</v>
          </cell>
          <cell r="W29">
            <v>0</v>
          </cell>
          <cell r="X29">
            <v>10526.52</v>
          </cell>
          <cell r="Y29">
            <v>0</v>
          </cell>
          <cell r="Z29">
            <v>2</v>
          </cell>
        </row>
        <row r="30">
          <cell r="A30" t="str">
            <v>A2124011123233</v>
          </cell>
          <cell r="B30" t="str">
            <v>3</v>
          </cell>
          <cell r="C30" t="str">
            <v>32</v>
          </cell>
          <cell r="D30" t="str">
            <v>323</v>
          </cell>
          <cell r="E30" t="str">
            <v>A212401</v>
          </cell>
          <cell r="F30">
            <v>112</v>
          </cell>
          <cell r="G30" t="str">
            <v>3233</v>
          </cell>
          <cell r="H30" t="str">
            <v>R9023951</v>
          </cell>
          <cell r="I30" t="str">
            <v>PR00285</v>
          </cell>
          <cell r="J30" t="str">
            <v>Usluge promidžbe i informiranja</v>
          </cell>
          <cell r="L30">
            <v>80000</v>
          </cell>
          <cell r="M30">
            <v>204800</v>
          </cell>
          <cell r="N30">
            <v>80000</v>
          </cell>
          <cell r="O30">
            <v>9747.7000000000007</v>
          </cell>
          <cell r="P30">
            <v>9747.7000000000007</v>
          </cell>
          <cell r="Q30">
            <v>0</v>
          </cell>
          <cell r="R30">
            <v>80000</v>
          </cell>
          <cell r="S30" t="str">
            <v>A212401112</v>
          </cell>
          <cell r="T30" t="str">
            <v>3233</v>
          </cell>
          <cell r="U30">
            <v>9747.7000000000007</v>
          </cell>
          <cell r="V30">
            <v>0</v>
          </cell>
          <cell r="W30">
            <v>0</v>
          </cell>
          <cell r="X30">
            <v>9747.7000000000007</v>
          </cell>
          <cell r="Y30">
            <v>0</v>
          </cell>
          <cell r="Z30">
            <v>3</v>
          </cell>
        </row>
        <row r="31">
          <cell r="A31" t="str">
            <v>A2124011123234</v>
          </cell>
          <cell r="B31" t="str">
            <v>3</v>
          </cell>
          <cell r="C31" t="str">
            <v>32</v>
          </cell>
          <cell r="D31" t="str">
            <v>323</v>
          </cell>
          <cell r="E31" t="str">
            <v>A212401</v>
          </cell>
          <cell r="F31">
            <v>112</v>
          </cell>
          <cell r="G31" t="str">
            <v>3234</v>
          </cell>
          <cell r="H31" t="str">
            <v>R0195806</v>
          </cell>
          <cell r="I31" t="str">
            <v>PR00133</v>
          </cell>
          <cell r="J31" t="str">
            <v>Komunalne usluge</v>
          </cell>
          <cell r="L31">
            <v>165000</v>
          </cell>
          <cell r="M31">
            <v>175000</v>
          </cell>
          <cell r="N31">
            <v>165000</v>
          </cell>
          <cell r="O31">
            <v>88991.920000000013</v>
          </cell>
          <cell r="P31">
            <v>88991.920000000013</v>
          </cell>
          <cell r="Q31">
            <v>0</v>
          </cell>
          <cell r="R31">
            <v>165000</v>
          </cell>
          <cell r="S31" t="str">
            <v>A212401112</v>
          </cell>
          <cell r="T31" t="str">
            <v>3234</v>
          </cell>
          <cell r="U31">
            <v>88991.920000000013</v>
          </cell>
          <cell r="V31">
            <v>0</v>
          </cell>
          <cell r="W31">
            <v>0</v>
          </cell>
          <cell r="X31">
            <v>88991.920000000013</v>
          </cell>
          <cell r="Y31">
            <v>0</v>
          </cell>
          <cell r="Z31">
            <v>31</v>
          </cell>
        </row>
        <row r="32">
          <cell r="A32" t="str">
            <v>A2124011123235</v>
          </cell>
          <cell r="B32" t="str">
            <v>3</v>
          </cell>
          <cell r="C32" t="str">
            <v>32</v>
          </cell>
          <cell r="D32" t="str">
            <v>323</v>
          </cell>
          <cell r="E32" t="str">
            <v>A212401</v>
          </cell>
          <cell r="F32">
            <v>112</v>
          </cell>
          <cell r="G32" t="str">
            <v>3235</v>
          </cell>
          <cell r="H32" t="str">
            <v>R0195808</v>
          </cell>
          <cell r="I32" t="str">
            <v>PR00013</v>
          </cell>
          <cell r="J32" t="str">
            <v>Zakupnine i najamnine</v>
          </cell>
          <cell r="L32">
            <v>282500</v>
          </cell>
          <cell r="M32">
            <v>282500</v>
          </cell>
          <cell r="N32">
            <v>282500</v>
          </cell>
          <cell r="O32">
            <v>228504.10000000003</v>
          </cell>
          <cell r="P32">
            <v>228504.1</v>
          </cell>
          <cell r="Q32">
            <v>0</v>
          </cell>
          <cell r="R32">
            <v>282500</v>
          </cell>
          <cell r="S32" t="str">
            <v>A212401112</v>
          </cell>
          <cell r="T32" t="str">
            <v>3235</v>
          </cell>
          <cell r="U32">
            <v>228504.10000000003</v>
          </cell>
          <cell r="V32">
            <v>0</v>
          </cell>
          <cell r="W32">
            <v>0</v>
          </cell>
          <cell r="X32">
            <v>228504.10000000003</v>
          </cell>
          <cell r="Y32">
            <v>0</v>
          </cell>
          <cell r="Z32">
            <v>18</v>
          </cell>
        </row>
        <row r="33">
          <cell r="A33" t="str">
            <v>A2124011123236</v>
          </cell>
          <cell r="B33" t="str">
            <v>3</v>
          </cell>
          <cell r="C33" t="str">
            <v>32</v>
          </cell>
          <cell r="D33" t="str">
            <v>323</v>
          </cell>
          <cell r="E33" t="str">
            <v>A212401</v>
          </cell>
          <cell r="F33">
            <v>112</v>
          </cell>
          <cell r="G33" t="str">
            <v>3236</v>
          </cell>
          <cell r="H33" t="str">
            <v>R9014549</v>
          </cell>
          <cell r="I33" t="str">
            <v>PR00246</v>
          </cell>
          <cell r="J33" t="str">
            <v>Zdravstvene i veterinarske usluge</v>
          </cell>
          <cell r="L33">
            <v>54000</v>
          </cell>
          <cell r="M33">
            <v>54000</v>
          </cell>
          <cell r="N33">
            <v>54000</v>
          </cell>
          <cell r="O33">
            <v>0</v>
          </cell>
          <cell r="P33">
            <v>0</v>
          </cell>
          <cell r="Q33">
            <v>0</v>
          </cell>
          <cell r="R33">
            <v>54000</v>
          </cell>
          <cell r="S33" t="str">
            <v>A212401112</v>
          </cell>
          <cell r="T33" t="str">
            <v>3236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</row>
        <row r="34">
          <cell r="A34" t="str">
            <v>A2124011123237</v>
          </cell>
          <cell r="B34" t="str">
            <v>3</v>
          </cell>
          <cell r="C34" t="str">
            <v>32</v>
          </cell>
          <cell r="D34" t="str">
            <v>323</v>
          </cell>
          <cell r="E34" t="str">
            <v>A212401</v>
          </cell>
          <cell r="F34">
            <v>112</v>
          </cell>
          <cell r="G34" t="str">
            <v>3237</v>
          </cell>
          <cell r="H34" t="str">
            <v>R0195811</v>
          </cell>
          <cell r="I34" t="str">
            <v>PR00014</v>
          </cell>
          <cell r="J34" t="str">
            <v>Intelektualne i osobne usluge</v>
          </cell>
          <cell r="L34">
            <v>79500</v>
          </cell>
          <cell r="M34">
            <v>240500</v>
          </cell>
          <cell r="N34">
            <v>79500</v>
          </cell>
          <cell r="O34">
            <v>77525.000000000015</v>
          </cell>
          <cell r="P34">
            <v>77525</v>
          </cell>
          <cell r="Q34">
            <v>0</v>
          </cell>
          <cell r="R34">
            <v>79500</v>
          </cell>
          <cell r="S34" t="str">
            <v>A212401112</v>
          </cell>
          <cell r="T34" t="str">
            <v>3237</v>
          </cell>
          <cell r="U34">
            <v>77525.000000000015</v>
          </cell>
          <cell r="V34">
            <v>0</v>
          </cell>
          <cell r="W34">
            <v>0</v>
          </cell>
          <cell r="X34">
            <v>77525.000000000015</v>
          </cell>
          <cell r="Y34">
            <v>0</v>
          </cell>
          <cell r="Z34">
            <v>11</v>
          </cell>
        </row>
        <row r="35">
          <cell r="A35" t="str">
            <v>A2124011123238</v>
          </cell>
          <cell r="B35" t="str">
            <v>3</v>
          </cell>
          <cell r="C35" t="str">
            <v>32</v>
          </cell>
          <cell r="D35" t="str">
            <v>323</v>
          </cell>
          <cell r="E35" t="str">
            <v>A212401</v>
          </cell>
          <cell r="F35">
            <v>112</v>
          </cell>
          <cell r="G35" t="str">
            <v>3238</v>
          </cell>
          <cell r="H35" t="str">
            <v>R0195813</v>
          </cell>
          <cell r="I35" t="str">
            <v>PR00143</v>
          </cell>
          <cell r="J35" t="str">
            <v>Računalne usluge</v>
          </cell>
          <cell r="L35">
            <v>47000</v>
          </cell>
          <cell r="M35">
            <v>89000</v>
          </cell>
          <cell r="N35">
            <v>47000</v>
          </cell>
          <cell r="O35">
            <v>47000</v>
          </cell>
          <cell r="P35">
            <v>47000</v>
          </cell>
          <cell r="Q35">
            <v>0</v>
          </cell>
          <cell r="R35">
            <v>47000</v>
          </cell>
          <cell r="S35" t="str">
            <v>A212401112</v>
          </cell>
          <cell r="T35" t="str">
            <v>3238</v>
          </cell>
          <cell r="U35">
            <v>47000</v>
          </cell>
          <cell r="V35">
            <v>0</v>
          </cell>
          <cell r="W35">
            <v>0</v>
          </cell>
          <cell r="X35">
            <v>47000</v>
          </cell>
          <cell r="Y35">
            <v>0</v>
          </cell>
          <cell r="Z35">
            <v>10</v>
          </cell>
        </row>
        <row r="36">
          <cell r="A36" t="str">
            <v>A2124011123239</v>
          </cell>
          <cell r="B36" t="str">
            <v>3</v>
          </cell>
          <cell r="C36" t="str">
            <v>32</v>
          </cell>
          <cell r="D36" t="str">
            <v>323</v>
          </cell>
          <cell r="E36" t="str">
            <v>A212401</v>
          </cell>
          <cell r="F36">
            <v>112</v>
          </cell>
          <cell r="G36" t="str">
            <v>3239</v>
          </cell>
          <cell r="H36" t="str">
            <v>R9028395</v>
          </cell>
          <cell r="I36">
            <v>0</v>
          </cell>
          <cell r="J36" t="str">
            <v>Ostale usluge</v>
          </cell>
          <cell r="L36">
            <v>100000</v>
          </cell>
          <cell r="M36">
            <v>1509500</v>
          </cell>
          <cell r="N36">
            <v>100000</v>
          </cell>
          <cell r="O36">
            <v>32213.32</v>
          </cell>
          <cell r="P36">
            <v>32213.32</v>
          </cell>
          <cell r="Q36">
            <v>0</v>
          </cell>
          <cell r="R36">
            <v>100000</v>
          </cell>
          <cell r="S36" t="str">
            <v>A212401112</v>
          </cell>
          <cell r="T36" t="str">
            <v>3239</v>
          </cell>
          <cell r="U36">
            <v>32213.32</v>
          </cell>
          <cell r="V36">
            <v>0</v>
          </cell>
          <cell r="W36">
            <v>0</v>
          </cell>
          <cell r="X36">
            <v>32213.32</v>
          </cell>
          <cell r="Y36">
            <v>0</v>
          </cell>
          <cell r="Z36">
            <v>16</v>
          </cell>
        </row>
        <row r="37">
          <cell r="A37" t="str">
            <v>A2124011123291</v>
          </cell>
          <cell r="B37" t="str">
            <v>3</v>
          </cell>
          <cell r="C37" t="str">
            <v>32</v>
          </cell>
          <cell r="D37" t="str">
            <v>329</v>
          </cell>
          <cell r="E37" t="str">
            <v>A212401</v>
          </cell>
          <cell r="F37">
            <v>112</v>
          </cell>
          <cell r="G37" t="str">
            <v>3291</v>
          </cell>
          <cell r="H37" t="str">
            <v>R0195819</v>
          </cell>
          <cell r="I37" t="str">
            <v>PR00015</v>
          </cell>
          <cell r="J37" t="str">
            <v>Naknade za rad predstavničkih i izvršnih tijela, povjerenstava i slično</v>
          </cell>
          <cell r="L37">
            <v>11000</v>
          </cell>
          <cell r="M37">
            <v>11000</v>
          </cell>
          <cell r="N37">
            <v>11000</v>
          </cell>
          <cell r="O37">
            <v>2792.2000000000003</v>
          </cell>
          <cell r="P37">
            <v>2792.2</v>
          </cell>
          <cell r="Q37">
            <v>0</v>
          </cell>
          <cell r="R37">
            <v>11000</v>
          </cell>
          <cell r="S37" t="str">
            <v>A212401112</v>
          </cell>
          <cell r="T37" t="str">
            <v>3291</v>
          </cell>
          <cell r="U37">
            <v>2792.2000000000003</v>
          </cell>
          <cell r="V37">
            <v>0</v>
          </cell>
          <cell r="W37">
            <v>0</v>
          </cell>
          <cell r="X37">
            <v>2792.2000000000003</v>
          </cell>
          <cell r="Y37">
            <v>0</v>
          </cell>
          <cell r="Z37">
            <v>3</v>
          </cell>
        </row>
        <row r="38">
          <cell r="A38" t="str">
            <v>A2124011123292</v>
          </cell>
          <cell r="B38" t="str">
            <v>3</v>
          </cell>
          <cell r="C38" t="str">
            <v>32</v>
          </cell>
          <cell r="D38" t="str">
            <v>329</v>
          </cell>
          <cell r="E38" t="str">
            <v>A212401</v>
          </cell>
          <cell r="F38">
            <v>112</v>
          </cell>
          <cell r="G38" t="str">
            <v>3292</v>
          </cell>
          <cell r="H38" t="str">
            <v>R0195821</v>
          </cell>
          <cell r="I38" t="str">
            <v>PR00016</v>
          </cell>
          <cell r="J38" t="str">
            <v>Premije osiguranja</v>
          </cell>
          <cell r="L38">
            <v>25000</v>
          </cell>
          <cell r="M38">
            <v>145000</v>
          </cell>
          <cell r="N38">
            <v>25000</v>
          </cell>
          <cell r="O38">
            <v>9130</v>
          </cell>
          <cell r="P38">
            <v>9130</v>
          </cell>
          <cell r="Q38">
            <v>0</v>
          </cell>
          <cell r="R38">
            <v>25000</v>
          </cell>
          <cell r="S38" t="str">
            <v>A212401112</v>
          </cell>
          <cell r="T38" t="str">
            <v>3292</v>
          </cell>
          <cell r="U38">
            <v>9130</v>
          </cell>
          <cell r="V38">
            <v>0</v>
          </cell>
          <cell r="W38">
            <v>0</v>
          </cell>
          <cell r="X38">
            <v>9130</v>
          </cell>
          <cell r="Y38">
            <v>0</v>
          </cell>
          <cell r="Z38">
            <v>1</v>
          </cell>
        </row>
        <row r="39">
          <cell r="A39" t="str">
            <v>A2124011123294</v>
          </cell>
          <cell r="B39" t="str">
            <v>3</v>
          </cell>
          <cell r="C39" t="str">
            <v>32</v>
          </cell>
          <cell r="D39" t="str">
            <v>329</v>
          </cell>
          <cell r="E39" t="str">
            <v>A212401</v>
          </cell>
          <cell r="F39">
            <v>112</v>
          </cell>
          <cell r="G39" t="str">
            <v>3294</v>
          </cell>
          <cell r="H39" t="str">
            <v>R0195824</v>
          </cell>
          <cell r="I39">
            <v>0</v>
          </cell>
          <cell r="J39" t="str">
            <v>Članarine i norme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 t="str">
            <v>A212401112</v>
          </cell>
          <cell r="T39" t="str">
            <v>3294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</row>
        <row r="40">
          <cell r="A40" t="str">
            <v>A2124011123295</v>
          </cell>
          <cell r="B40" t="str">
            <v>3</v>
          </cell>
          <cell r="C40" t="str">
            <v>32</v>
          </cell>
          <cell r="D40" t="str">
            <v>329</v>
          </cell>
          <cell r="E40" t="str">
            <v>A212401</v>
          </cell>
          <cell r="F40">
            <v>112</v>
          </cell>
          <cell r="G40" t="str">
            <v>3295</v>
          </cell>
          <cell r="H40" t="str">
            <v>R0195826</v>
          </cell>
          <cell r="I40" t="str">
            <v>PR00221</v>
          </cell>
          <cell r="J40" t="str">
            <v>Pristojbe i naknade</v>
          </cell>
          <cell r="L40">
            <v>0</v>
          </cell>
          <cell r="M40">
            <v>14000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 t="str">
            <v>A212401112</v>
          </cell>
          <cell r="T40" t="str">
            <v>3295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</row>
        <row r="41">
          <cell r="A41" t="str">
            <v>A2124011123431</v>
          </cell>
          <cell r="B41" t="str">
            <v>3</v>
          </cell>
          <cell r="C41" t="str">
            <v>34</v>
          </cell>
          <cell r="D41" t="str">
            <v>343</v>
          </cell>
          <cell r="E41" t="str">
            <v>A212401</v>
          </cell>
          <cell r="F41">
            <v>112</v>
          </cell>
          <cell r="G41" t="str">
            <v>3431</v>
          </cell>
          <cell r="H41" t="str">
            <v>R0195832</v>
          </cell>
          <cell r="I41" t="str">
            <v>PR00020</v>
          </cell>
          <cell r="J41" t="str">
            <v>Bankarske usluge i usluge platnog prometa</v>
          </cell>
          <cell r="L41">
            <v>5000</v>
          </cell>
          <cell r="M41">
            <v>10000</v>
          </cell>
          <cell r="N41">
            <v>5000</v>
          </cell>
          <cell r="O41">
            <v>0</v>
          </cell>
          <cell r="P41">
            <v>0</v>
          </cell>
          <cell r="Q41">
            <v>0</v>
          </cell>
          <cell r="R41">
            <v>5000</v>
          </cell>
          <cell r="S41" t="str">
            <v>A212401112</v>
          </cell>
          <cell r="T41" t="str">
            <v>3431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</row>
        <row r="42">
          <cell r="B42" t="str">
            <v>3</v>
          </cell>
          <cell r="C42" t="str">
            <v>36</v>
          </cell>
          <cell r="D42" t="str">
            <v>369</v>
          </cell>
          <cell r="E42" t="str">
            <v>A212401</v>
          </cell>
          <cell r="F42">
            <v>112</v>
          </cell>
          <cell r="G42" t="str">
            <v>3694</v>
          </cell>
          <cell r="H42" t="str">
            <v>R9015760</v>
          </cell>
          <cell r="I42">
            <v>0</v>
          </cell>
          <cell r="J42" t="str">
            <v>Kapitalni prijenosi između proračunskih korisnika istog proračuna temeljem prijenosa EU sredstava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 t="str">
            <v>A212401112</v>
          </cell>
          <cell r="T42" t="str">
            <v>3694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</row>
        <row r="43">
          <cell r="G43" t="str">
            <v>Izvor  3.1.1 VLASTITI PRIHODI-PRORAČUNSKI KORISNICI</v>
          </cell>
          <cell r="H43"/>
          <cell r="I43"/>
          <cell r="J43"/>
          <cell r="K43" t="str">
            <v>( 43 )</v>
          </cell>
          <cell r="L43">
            <v>18300</v>
          </cell>
          <cell r="M43">
            <v>18300</v>
          </cell>
          <cell r="N43">
            <v>18300</v>
          </cell>
          <cell r="O43">
            <v>1492</v>
          </cell>
          <cell r="P43">
            <v>1492</v>
          </cell>
          <cell r="Q43">
            <v>0</v>
          </cell>
          <cell r="R43">
            <v>18300</v>
          </cell>
          <cell r="S43"/>
          <cell r="T43"/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</row>
        <row r="44">
          <cell r="A44" t="str">
            <v>A2124013113239</v>
          </cell>
          <cell r="B44" t="str">
            <v>3</v>
          </cell>
          <cell r="C44" t="str">
            <v>32</v>
          </cell>
          <cell r="D44" t="str">
            <v>323</v>
          </cell>
          <cell r="E44" t="str">
            <v>A212401</v>
          </cell>
          <cell r="F44">
            <v>311</v>
          </cell>
          <cell r="G44" t="str">
            <v>3239</v>
          </cell>
          <cell r="H44" t="str">
            <v>R0195816</v>
          </cell>
          <cell r="I44" t="str">
            <v>PR00336</v>
          </cell>
          <cell r="J44" t="str">
            <v>Ostale usluge</v>
          </cell>
          <cell r="L44">
            <v>18300</v>
          </cell>
          <cell r="M44">
            <v>18300</v>
          </cell>
          <cell r="N44">
            <v>18300</v>
          </cell>
          <cell r="O44">
            <v>1492</v>
          </cell>
          <cell r="P44">
            <v>1492</v>
          </cell>
          <cell r="Q44"/>
          <cell r="R44">
            <v>18300</v>
          </cell>
          <cell r="S44" t="str">
            <v>A212401311</v>
          </cell>
          <cell r="T44" t="str">
            <v>3239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</row>
        <row r="45">
          <cell r="G45" t="str">
            <v>Izvor  4.3.1 PRIHODI ZA POSEBNE NAMJENE-PRORAČUNSKI KORISNICI</v>
          </cell>
          <cell r="H45"/>
          <cell r="I45"/>
          <cell r="J45"/>
          <cell r="K45" t="str">
            <v>( 31 )</v>
          </cell>
          <cell r="L45">
            <v>954200</v>
          </cell>
          <cell r="M45">
            <v>954200</v>
          </cell>
          <cell r="N45">
            <v>954200</v>
          </cell>
          <cell r="O45">
            <v>359923.14</v>
          </cell>
          <cell r="P45">
            <v>359923.14</v>
          </cell>
          <cell r="Q45">
            <v>0</v>
          </cell>
          <cell r="R45">
            <v>958200</v>
          </cell>
          <cell r="S45"/>
          <cell r="T45"/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A46" t="str">
            <v>A2124014313211</v>
          </cell>
          <cell r="B46" t="str">
            <v>3</v>
          </cell>
          <cell r="C46" t="str">
            <v>32</v>
          </cell>
          <cell r="D46" t="str">
            <v>321</v>
          </cell>
          <cell r="E46" t="str">
            <v>A212401</v>
          </cell>
          <cell r="F46">
            <v>431</v>
          </cell>
          <cell r="G46" t="str">
            <v>3211</v>
          </cell>
          <cell r="H46" t="str">
            <v>R0206406</v>
          </cell>
          <cell r="I46" t="str">
            <v>PR00093</v>
          </cell>
          <cell r="J46" t="str">
            <v>Službena putovanja</v>
          </cell>
          <cell r="L46">
            <v>22000</v>
          </cell>
          <cell r="M46">
            <v>22000</v>
          </cell>
          <cell r="N46">
            <v>22000</v>
          </cell>
          <cell r="O46">
            <v>8658.1299999999992</v>
          </cell>
          <cell r="P46">
            <v>8658.1299999999992</v>
          </cell>
          <cell r="Q46"/>
          <cell r="R46">
            <v>22000</v>
          </cell>
          <cell r="S46" t="str">
            <v>A212401431</v>
          </cell>
          <cell r="T46" t="str">
            <v>3211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</row>
        <row r="47">
          <cell r="A47" t="str">
            <v>A2124014313213</v>
          </cell>
          <cell r="B47" t="str">
            <v>3</v>
          </cell>
          <cell r="C47" t="str">
            <v>32</v>
          </cell>
          <cell r="D47" t="str">
            <v>321</v>
          </cell>
          <cell r="E47" t="str">
            <v>A212401</v>
          </cell>
          <cell r="F47">
            <v>431</v>
          </cell>
          <cell r="G47" t="str">
            <v>3213</v>
          </cell>
          <cell r="H47" t="str">
            <v>R0202455</v>
          </cell>
          <cell r="I47" t="str">
            <v>PR00094</v>
          </cell>
          <cell r="J47" t="str">
            <v>Stručno usavršavanje zaposlenika</v>
          </cell>
          <cell r="L47">
            <v>5000</v>
          </cell>
          <cell r="M47">
            <v>5000</v>
          </cell>
          <cell r="N47">
            <v>5000</v>
          </cell>
          <cell r="O47">
            <v>623.79999999999995</v>
          </cell>
          <cell r="P47">
            <v>623.79999999999995</v>
          </cell>
          <cell r="Q47"/>
          <cell r="R47">
            <v>5000</v>
          </cell>
          <cell r="S47" t="str">
            <v>A212401431</v>
          </cell>
          <cell r="T47" t="str">
            <v>3213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</row>
        <row r="48">
          <cell r="A48" t="str">
            <v>A2124014313221</v>
          </cell>
          <cell r="B48" t="str">
            <v>3</v>
          </cell>
          <cell r="C48" t="str">
            <v>32</v>
          </cell>
          <cell r="D48" t="str">
            <v>322</v>
          </cell>
          <cell r="E48" t="str">
            <v>A212401</v>
          </cell>
          <cell r="F48">
            <v>431</v>
          </cell>
          <cell r="G48" t="str">
            <v>3221</v>
          </cell>
          <cell r="H48" t="str">
            <v>R0202463</v>
          </cell>
          <cell r="I48" t="str">
            <v>PR00222</v>
          </cell>
          <cell r="J48" t="str">
            <v>Uredski materijal i ostali materijalni rashodi</v>
          </cell>
          <cell r="L48">
            <v>73000</v>
          </cell>
          <cell r="M48">
            <v>73000</v>
          </cell>
          <cell r="N48">
            <v>73000</v>
          </cell>
          <cell r="O48">
            <v>22442.54</v>
          </cell>
          <cell r="P48">
            <v>22442.54</v>
          </cell>
          <cell r="Q48"/>
          <cell r="R48">
            <v>73000</v>
          </cell>
          <cell r="S48" t="str">
            <v>A212401431</v>
          </cell>
          <cell r="T48" t="str">
            <v>3221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A2124014313222</v>
          </cell>
          <cell r="B49" t="str">
            <v>3</v>
          </cell>
          <cell r="C49" t="str">
            <v>32</v>
          </cell>
          <cell r="D49" t="str">
            <v>322</v>
          </cell>
          <cell r="E49" t="str">
            <v>A212401</v>
          </cell>
          <cell r="F49">
            <v>431</v>
          </cell>
          <cell r="G49" t="str">
            <v>3222</v>
          </cell>
          <cell r="H49" t="str">
            <v>R0202453</v>
          </cell>
          <cell r="I49" t="str">
            <v>PR00096</v>
          </cell>
          <cell r="J49" t="str">
            <v>Materijal i sirovine</v>
          </cell>
          <cell r="L49">
            <v>54000</v>
          </cell>
          <cell r="M49">
            <v>54000</v>
          </cell>
          <cell r="N49">
            <v>54000</v>
          </cell>
          <cell r="O49">
            <v>16053.87</v>
          </cell>
          <cell r="P49">
            <v>16053.87</v>
          </cell>
          <cell r="Q49"/>
          <cell r="R49">
            <v>54000</v>
          </cell>
          <cell r="S49" t="str">
            <v>A212401431</v>
          </cell>
          <cell r="T49" t="str">
            <v>3222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</row>
        <row r="50">
          <cell r="A50" t="str">
            <v>A2124014313224</v>
          </cell>
          <cell r="B50" t="str">
            <v>3</v>
          </cell>
          <cell r="C50" t="str">
            <v>32</v>
          </cell>
          <cell r="D50" t="str">
            <v>322</v>
          </cell>
          <cell r="E50" t="str">
            <v>A212401</v>
          </cell>
          <cell r="F50">
            <v>431</v>
          </cell>
          <cell r="G50" t="str">
            <v>3224</v>
          </cell>
          <cell r="H50" t="str">
            <v>R0202462</v>
          </cell>
          <cell r="I50" t="str">
            <v>PR00098</v>
          </cell>
          <cell r="J50" t="str">
            <v>Materijal i dijelovi za tekuće i investicijsko održavanje</v>
          </cell>
          <cell r="L50">
            <v>20000</v>
          </cell>
          <cell r="M50">
            <v>20000</v>
          </cell>
          <cell r="N50">
            <v>20000</v>
          </cell>
          <cell r="O50">
            <v>12257.66</v>
          </cell>
          <cell r="P50">
            <v>12257.66</v>
          </cell>
          <cell r="Q50"/>
          <cell r="R50">
            <v>20000</v>
          </cell>
          <cell r="S50" t="str">
            <v>A212401431</v>
          </cell>
          <cell r="T50" t="str">
            <v>3224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</row>
        <row r="51">
          <cell r="A51" t="str">
            <v>A2124014313225</v>
          </cell>
          <cell r="B51" t="str">
            <v>3</v>
          </cell>
          <cell r="C51" t="str">
            <v>32</v>
          </cell>
          <cell r="D51" t="str">
            <v>322</v>
          </cell>
          <cell r="E51" t="str">
            <v>A212401</v>
          </cell>
          <cell r="F51">
            <v>431</v>
          </cell>
          <cell r="G51" t="str">
            <v>3225</v>
          </cell>
          <cell r="H51" t="str">
            <v>R0202442</v>
          </cell>
          <cell r="I51" t="str">
            <v>PR00099</v>
          </cell>
          <cell r="J51" t="str">
            <v>Sitni inventar i autogume</v>
          </cell>
          <cell r="L51">
            <v>5000</v>
          </cell>
          <cell r="M51">
            <v>5000</v>
          </cell>
          <cell r="N51">
            <v>5000</v>
          </cell>
          <cell r="O51">
            <v>1640.09</v>
          </cell>
          <cell r="P51">
            <v>1640.09</v>
          </cell>
          <cell r="Q51"/>
          <cell r="R51">
            <v>5000</v>
          </cell>
          <cell r="S51" t="str">
            <v>A212401431</v>
          </cell>
          <cell r="T51" t="str">
            <v>3225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</row>
        <row r="52">
          <cell r="A52" t="str">
            <v>A2124014313227</v>
          </cell>
          <cell r="B52" t="str">
            <v>3</v>
          </cell>
          <cell r="C52" t="str">
            <v>32</v>
          </cell>
          <cell r="D52" t="str">
            <v>322</v>
          </cell>
          <cell r="E52" t="str">
            <v>A212401</v>
          </cell>
          <cell r="F52">
            <v>431</v>
          </cell>
          <cell r="G52" t="str">
            <v>3227</v>
          </cell>
          <cell r="H52" t="str">
            <v>R0206407</v>
          </cell>
          <cell r="I52" t="str">
            <v>PR00100</v>
          </cell>
          <cell r="J52" t="str">
            <v>Službena, radna i zaštitna odjeća i obuća</v>
          </cell>
          <cell r="L52">
            <v>500</v>
          </cell>
          <cell r="M52">
            <v>500</v>
          </cell>
          <cell r="N52">
            <v>500</v>
          </cell>
          <cell r="O52">
            <v>956.58</v>
          </cell>
          <cell r="P52">
            <v>956.58</v>
          </cell>
          <cell r="Q52"/>
          <cell r="R52">
            <v>500</v>
          </cell>
          <cell r="S52" t="str">
            <v>A212401431</v>
          </cell>
          <cell r="T52" t="str">
            <v>3227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</row>
        <row r="53">
          <cell r="A53" t="str">
            <v>A2124014313231</v>
          </cell>
          <cell r="B53" t="str">
            <v>3</v>
          </cell>
          <cell r="C53" t="str">
            <v>32</v>
          </cell>
          <cell r="D53" t="str">
            <v>323</v>
          </cell>
          <cell r="E53" t="str">
            <v>A212401</v>
          </cell>
          <cell r="F53">
            <v>431</v>
          </cell>
          <cell r="G53" t="str">
            <v>3231</v>
          </cell>
          <cell r="H53" t="str">
            <v>R0202456</v>
          </cell>
          <cell r="I53" t="str">
            <v>PR00101</v>
          </cell>
          <cell r="J53" t="str">
            <v>Usluge telefona, interneta, pošte i prijevoza</v>
          </cell>
          <cell r="L53">
            <v>76000</v>
          </cell>
          <cell r="M53">
            <v>76000</v>
          </cell>
          <cell r="N53">
            <v>76000</v>
          </cell>
          <cell r="O53">
            <v>33265.32</v>
          </cell>
          <cell r="P53">
            <v>33265.32</v>
          </cell>
          <cell r="Q53"/>
          <cell r="R53">
            <v>76000</v>
          </cell>
          <cell r="S53" t="str">
            <v>A212401431</v>
          </cell>
          <cell r="T53" t="str">
            <v>3231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</row>
        <row r="54">
          <cell r="A54" t="str">
            <v>A2124014313232</v>
          </cell>
          <cell r="B54" t="str">
            <v>3</v>
          </cell>
          <cell r="C54" t="str">
            <v>32</v>
          </cell>
          <cell r="D54" t="str">
            <v>323</v>
          </cell>
          <cell r="E54" t="str">
            <v>A212401</v>
          </cell>
          <cell r="F54">
            <v>431</v>
          </cell>
          <cell r="G54" t="str">
            <v>3232</v>
          </cell>
          <cell r="H54" t="str">
            <v>R0202461</v>
          </cell>
          <cell r="I54" t="str">
            <v>PR00102</v>
          </cell>
          <cell r="J54" t="str">
            <v>Usluge tekućeg i investicijskog  održavanja</v>
          </cell>
          <cell r="L54">
            <v>180000</v>
          </cell>
          <cell r="M54">
            <v>180000</v>
          </cell>
          <cell r="N54">
            <v>180000</v>
          </cell>
          <cell r="O54">
            <v>114394.24000000001</v>
          </cell>
          <cell r="P54">
            <v>114394.24000000001</v>
          </cell>
          <cell r="Q54"/>
          <cell r="R54">
            <v>180000</v>
          </cell>
          <cell r="S54" t="str">
            <v>A212401431</v>
          </cell>
          <cell r="T54" t="str">
            <v>3232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</row>
        <row r="55">
          <cell r="A55" t="str">
            <v>A2124014313233</v>
          </cell>
          <cell r="B55" t="str">
            <v>3</v>
          </cell>
          <cell r="C55" t="str">
            <v>32</v>
          </cell>
          <cell r="D55" t="str">
            <v>323</v>
          </cell>
          <cell r="E55" t="str">
            <v>A212401</v>
          </cell>
          <cell r="F55">
            <v>431</v>
          </cell>
          <cell r="G55" t="str">
            <v>3233</v>
          </cell>
          <cell r="H55" t="str">
            <v>R0206413</v>
          </cell>
          <cell r="I55" t="str">
            <v>PR00103</v>
          </cell>
          <cell r="J55" t="str">
            <v>Usluge promidžbe i informiranja</v>
          </cell>
          <cell r="L55">
            <v>18000</v>
          </cell>
          <cell r="M55">
            <v>18000</v>
          </cell>
          <cell r="N55">
            <v>18000</v>
          </cell>
          <cell r="O55">
            <v>0</v>
          </cell>
          <cell r="P55">
            <v>0</v>
          </cell>
          <cell r="Q55"/>
          <cell r="R55">
            <v>18000</v>
          </cell>
          <cell r="S55" t="str">
            <v>A212401431</v>
          </cell>
          <cell r="T55" t="str">
            <v>3233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</row>
        <row r="56">
          <cell r="A56" t="str">
            <v>A2124014313234</v>
          </cell>
          <cell r="B56" t="str">
            <v>3</v>
          </cell>
          <cell r="C56" t="str">
            <v>32</v>
          </cell>
          <cell r="D56" t="str">
            <v>323</v>
          </cell>
          <cell r="E56" t="str">
            <v>A212401</v>
          </cell>
          <cell r="F56">
            <v>431</v>
          </cell>
          <cell r="G56" t="str">
            <v>3234</v>
          </cell>
          <cell r="H56" t="str">
            <v>R0202458</v>
          </cell>
          <cell r="I56" t="str">
            <v>PR00104</v>
          </cell>
          <cell r="J56" t="str">
            <v>Komunalne usluge</v>
          </cell>
          <cell r="L56">
            <v>20000</v>
          </cell>
          <cell r="M56">
            <v>20000</v>
          </cell>
          <cell r="N56">
            <v>20000</v>
          </cell>
          <cell r="O56">
            <v>186.49999999998499</v>
          </cell>
          <cell r="P56">
            <v>186.49999999998499</v>
          </cell>
          <cell r="Q56"/>
          <cell r="R56">
            <v>20000</v>
          </cell>
          <cell r="S56" t="str">
            <v>A212401431</v>
          </cell>
          <cell r="T56" t="str">
            <v>3234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</row>
        <row r="57">
          <cell r="A57" t="str">
            <v>A2124014313235</v>
          </cell>
          <cell r="B57" t="str">
            <v>3</v>
          </cell>
          <cell r="C57" t="str">
            <v>32</v>
          </cell>
          <cell r="D57" t="str">
            <v>323</v>
          </cell>
          <cell r="E57" t="str">
            <v>A212401</v>
          </cell>
          <cell r="F57">
            <v>431</v>
          </cell>
          <cell r="G57" t="str">
            <v>3235</v>
          </cell>
          <cell r="H57" t="str">
            <v>R0202443</v>
          </cell>
          <cell r="I57" t="str">
            <v>PR00105</v>
          </cell>
          <cell r="J57" t="str">
            <v>Zakupnine i najamnine</v>
          </cell>
          <cell r="L57">
            <v>130000</v>
          </cell>
          <cell r="M57">
            <v>130000</v>
          </cell>
          <cell r="N57">
            <v>130000</v>
          </cell>
          <cell r="O57">
            <v>740</v>
          </cell>
          <cell r="P57">
            <v>740</v>
          </cell>
          <cell r="Q57"/>
          <cell r="R57">
            <v>130000</v>
          </cell>
          <cell r="S57" t="str">
            <v>A212401431</v>
          </cell>
          <cell r="T57" t="str">
            <v>3235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</row>
        <row r="58">
          <cell r="A58" t="str">
            <v>A2124014313236</v>
          </cell>
          <cell r="B58" t="str">
            <v>3</v>
          </cell>
          <cell r="C58" t="str">
            <v>32</v>
          </cell>
          <cell r="D58" t="str">
            <v>323</v>
          </cell>
          <cell r="E58" t="str">
            <v>A212401</v>
          </cell>
          <cell r="F58">
            <v>431</v>
          </cell>
          <cell r="G58" t="str">
            <v>3236</v>
          </cell>
          <cell r="H58" t="str">
            <v>R0206415</v>
          </cell>
          <cell r="I58" t="str">
            <v>PR00247</v>
          </cell>
          <cell r="J58" t="str">
            <v>Zdravstvene i veterinarske usluge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/>
          <cell r="R58">
            <v>0</v>
          </cell>
          <cell r="S58" t="str">
            <v>A212401431</v>
          </cell>
          <cell r="T58" t="str">
            <v>3236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</row>
        <row r="59">
          <cell r="A59" t="str">
            <v>A2124014313237</v>
          </cell>
          <cell r="B59" t="str">
            <v>3</v>
          </cell>
          <cell r="C59" t="str">
            <v>32</v>
          </cell>
          <cell r="D59" t="str">
            <v>323</v>
          </cell>
          <cell r="E59" t="str">
            <v>A212401</v>
          </cell>
          <cell r="F59">
            <v>431</v>
          </cell>
          <cell r="G59" t="str">
            <v>3237</v>
          </cell>
          <cell r="H59" t="str">
            <v>R0202441</v>
          </cell>
          <cell r="I59" t="str">
            <v>PR00106</v>
          </cell>
          <cell r="J59" t="str">
            <v>Intelektualne i osobne usluge</v>
          </cell>
          <cell r="L59">
            <v>39000</v>
          </cell>
          <cell r="M59">
            <v>39000</v>
          </cell>
          <cell r="N59">
            <v>39000</v>
          </cell>
          <cell r="O59">
            <v>26336.26</v>
          </cell>
          <cell r="P59">
            <v>26336.26</v>
          </cell>
          <cell r="Q59"/>
          <cell r="R59">
            <v>39000</v>
          </cell>
          <cell r="S59" t="str">
            <v>A212401431</v>
          </cell>
          <cell r="T59" t="str">
            <v>3237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A60" t="str">
            <v>A2124014313238</v>
          </cell>
          <cell r="B60" t="str">
            <v>3</v>
          </cell>
          <cell r="C60" t="str">
            <v>32</v>
          </cell>
          <cell r="D60" t="str">
            <v>323</v>
          </cell>
          <cell r="E60" t="str">
            <v>A212401</v>
          </cell>
          <cell r="F60">
            <v>431</v>
          </cell>
          <cell r="G60" t="str">
            <v>3238</v>
          </cell>
          <cell r="H60" t="str">
            <v>R0202448</v>
          </cell>
          <cell r="I60" t="str">
            <v>PR00107</v>
          </cell>
          <cell r="J60" t="str">
            <v>Računalne usluge</v>
          </cell>
          <cell r="L60">
            <v>148000</v>
          </cell>
          <cell r="M60">
            <v>148000</v>
          </cell>
          <cell r="N60">
            <v>148000</v>
          </cell>
          <cell r="O60">
            <v>35469.14</v>
          </cell>
          <cell r="P60">
            <v>35469.14</v>
          </cell>
          <cell r="Q60"/>
          <cell r="R60">
            <v>148000</v>
          </cell>
          <cell r="S60" t="str">
            <v>A212401431</v>
          </cell>
          <cell r="T60" t="str">
            <v>3238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</row>
        <row r="61">
          <cell r="A61" t="str">
            <v>A2124014313239</v>
          </cell>
          <cell r="B61" t="str">
            <v>3</v>
          </cell>
          <cell r="C61" t="str">
            <v>32</v>
          </cell>
          <cell r="D61" t="str">
            <v>323</v>
          </cell>
          <cell r="E61" t="str">
            <v>A212401</v>
          </cell>
          <cell r="F61">
            <v>431</v>
          </cell>
          <cell r="G61" t="str">
            <v>3239</v>
          </cell>
          <cell r="H61" t="str">
            <v>R0202447</v>
          </cell>
          <cell r="I61" t="str">
            <v>PR00108</v>
          </cell>
          <cell r="J61" t="str">
            <v>Ostale usluge</v>
          </cell>
          <cell r="L61">
            <v>106200</v>
          </cell>
          <cell r="M61">
            <v>106200</v>
          </cell>
          <cell r="N61">
            <v>106200</v>
          </cell>
          <cell r="O61">
            <v>52571.12</v>
          </cell>
          <cell r="P61">
            <v>52571.12</v>
          </cell>
          <cell r="Q61"/>
          <cell r="R61">
            <v>106200</v>
          </cell>
          <cell r="S61" t="str">
            <v>A212401431</v>
          </cell>
          <cell r="T61" t="str">
            <v>3239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</row>
        <row r="62">
          <cell r="A62" t="str">
            <v>A2124014313241</v>
          </cell>
          <cell r="B62" t="str">
            <v>3</v>
          </cell>
          <cell r="C62" t="str">
            <v>32</v>
          </cell>
          <cell r="D62" t="str">
            <v>324</v>
          </cell>
          <cell r="E62" t="str">
            <v>A212401</v>
          </cell>
          <cell r="F62">
            <v>431</v>
          </cell>
          <cell r="G62" t="str">
            <v>3241</v>
          </cell>
          <cell r="H62" t="str">
            <v>R9017694</v>
          </cell>
          <cell r="I62" t="str">
            <v>PR00300</v>
          </cell>
          <cell r="J62" t="str">
            <v>Naknade troškova osobama izvan radnog odnosa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/>
          <cell r="R62">
            <v>0</v>
          </cell>
          <cell r="S62" t="str">
            <v>A212401431</v>
          </cell>
          <cell r="T62" t="str">
            <v>3241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A63" t="str">
            <v>A2124014313291</v>
          </cell>
          <cell r="B63" t="str">
            <v>3</v>
          </cell>
          <cell r="C63" t="str">
            <v>32</v>
          </cell>
          <cell r="D63" t="str">
            <v>329</v>
          </cell>
          <cell r="E63" t="str">
            <v>A212401</v>
          </cell>
          <cell r="F63">
            <v>431</v>
          </cell>
          <cell r="G63">
            <v>3291</v>
          </cell>
          <cell r="H63"/>
          <cell r="I63"/>
          <cell r="J63" t="str">
            <v>Premije osiguranja</v>
          </cell>
          <cell r="K63"/>
          <cell r="L63"/>
          <cell r="M63"/>
          <cell r="N63">
            <v>0</v>
          </cell>
          <cell r="O63">
            <v>837.66</v>
          </cell>
          <cell r="P63">
            <v>837.66</v>
          </cell>
          <cell r="Q63"/>
          <cell r="R63">
            <v>4000</v>
          </cell>
          <cell r="S63" t="str">
            <v>A212401431</v>
          </cell>
          <cell r="T63">
            <v>3291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</row>
        <row r="64">
          <cell r="A64" t="str">
            <v>A2124014313292</v>
          </cell>
          <cell r="B64" t="str">
            <v>3</v>
          </cell>
          <cell r="C64" t="str">
            <v>32</v>
          </cell>
          <cell r="D64" t="str">
            <v>329</v>
          </cell>
          <cell r="E64" t="str">
            <v>A212401</v>
          </cell>
          <cell r="F64">
            <v>431</v>
          </cell>
          <cell r="G64" t="str">
            <v>3292</v>
          </cell>
          <cell r="H64" t="str">
            <v>R0202449</v>
          </cell>
          <cell r="I64" t="str">
            <v>PR00109</v>
          </cell>
          <cell r="J64" t="str">
            <v>Premije osiguranja</v>
          </cell>
          <cell r="L64">
            <v>4000</v>
          </cell>
          <cell r="M64">
            <v>9000</v>
          </cell>
          <cell r="N64">
            <v>4000</v>
          </cell>
          <cell r="O64">
            <v>4396.84</v>
          </cell>
          <cell r="P64">
            <v>4396.84</v>
          </cell>
          <cell r="Q64"/>
          <cell r="R64">
            <v>4000</v>
          </cell>
          <cell r="S64" t="str">
            <v>A212401431</v>
          </cell>
          <cell r="T64" t="str">
            <v>3292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</row>
        <row r="65">
          <cell r="A65" t="str">
            <v>A2124014313293</v>
          </cell>
          <cell r="B65" t="str">
            <v>3</v>
          </cell>
          <cell r="C65" t="str">
            <v>32</v>
          </cell>
          <cell r="D65" t="str">
            <v>329</v>
          </cell>
          <cell r="E65" t="str">
            <v>A212401</v>
          </cell>
          <cell r="F65">
            <v>431</v>
          </cell>
          <cell r="G65" t="str">
            <v>3293</v>
          </cell>
          <cell r="H65" t="str">
            <v>R0206416</v>
          </cell>
          <cell r="I65" t="str">
            <v>PR00110</v>
          </cell>
          <cell r="J65" t="str">
            <v>Reprezentacija</v>
          </cell>
          <cell r="L65">
            <v>9000</v>
          </cell>
          <cell r="M65">
            <v>14000</v>
          </cell>
          <cell r="N65">
            <v>9000</v>
          </cell>
          <cell r="O65">
            <v>6514.59</v>
          </cell>
          <cell r="P65">
            <v>6514.59</v>
          </cell>
          <cell r="Q65"/>
          <cell r="R65">
            <v>9000</v>
          </cell>
          <cell r="S65" t="str">
            <v>A212401431</v>
          </cell>
          <cell r="T65" t="str">
            <v>3293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</row>
        <row r="66">
          <cell r="A66" t="str">
            <v>A2124014313294</v>
          </cell>
          <cell r="B66" t="str">
            <v>3</v>
          </cell>
          <cell r="C66" t="str">
            <v>32</v>
          </cell>
          <cell r="D66" t="str">
            <v>329</v>
          </cell>
          <cell r="E66" t="str">
            <v>A212401</v>
          </cell>
          <cell r="F66">
            <v>431</v>
          </cell>
          <cell r="G66" t="str">
            <v>3294</v>
          </cell>
          <cell r="H66" t="str">
            <v>R0202445</v>
          </cell>
          <cell r="I66" t="str">
            <v>PR00111</v>
          </cell>
          <cell r="J66" t="str">
            <v>Članarine i norme</v>
          </cell>
          <cell r="L66">
            <v>3300</v>
          </cell>
          <cell r="M66">
            <v>3300</v>
          </cell>
          <cell r="N66">
            <v>3300</v>
          </cell>
          <cell r="O66">
            <v>2391.06</v>
          </cell>
          <cell r="P66">
            <v>2391.06</v>
          </cell>
          <cell r="Q66"/>
          <cell r="R66">
            <v>3300</v>
          </cell>
          <cell r="S66" t="str">
            <v>A212401431</v>
          </cell>
          <cell r="T66" t="str">
            <v>3294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</row>
        <row r="67">
          <cell r="A67" t="str">
            <v>A2124014313295</v>
          </cell>
          <cell r="B67" t="str">
            <v>3</v>
          </cell>
          <cell r="C67" t="str">
            <v>32</v>
          </cell>
          <cell r="D67" t="str">
            <v>329</v>
          </cell>
          <cell r="E67" t="str">
            <v>A212401</v>
          </cell>
          <cell r="F67">
            <v>431</v>
          </cell>
          <cell r="G67" t="str">
            <v>3295</v>
          </cell>
          <cell r="H67" t="str">
            <v>R0202452</v>
          </cell>
          <cell r="I67" t="str">
            <v>PR00112</v>
          </cell>
          <cell r="J67" t="str">
            <v>Pristojbe i naknade</v>
          </cell>
          <cell r="L67">
            <v>22500</v>
          </cell>
          <cell r="M67">
            <v>12500</v>
          </cell>
          <cell r="N67">
            <v>22500</v>
          </cell>
          <cell r="O67">
            <v>7798</v>
          </cell>
          <cell r="P67">
            <v>7798</v>
          </cell>
          <cell r="Q67"/>
          <cell r="R67">
            <v>22500</v>
          </cell>
          <cell r="S67" t="str">
            <v>A212401431</v>
          </cell>
          <cell r="T67" t="str">
            <v>3295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</row>
        <row r="68">
          <cell r="A68" t="str">
            <v>A2124014313299</v>
          </cell>
          <cell r="B68" t="str">
            <v>3</v>
          </cell>
          <cell r="C68" t="str">
            <v>32</v>
          </cell>
          <cell r="D68" t="str">
            <v>329</v>
          </cell>
          <cell r="E68" t="str">
            <v>A212401</v>
          </cell>
          <cell r="F68">
            <v>431</v>
          </cell>
          <cell r="G68" t="str">
            <v>3299</v>
          </cell>
          <cell r="H68" t="str">
            <v>R0202451</v>
          </cell>
          <cell r="I68" t="str">
            <v>PR00113</v>
          </cell>
          <cell r="J68" t="str">
            <v>Ostali nespomenuti rashodi poslovanja</v>
          </cell>
          <cell r="L68">
            <v>4000</v>
          </cell>
          <cell r="M68">
            <v>4000</v>
          </cell>
          <cell r="N68">
            <v>4000</v>
          </cell>
          <cell r="O68">
            <v>1216.76</v>
          </cell>
          <cell r="P68">
            <v>1216.76</v>
          </cell>
          <cell r="Q68"/>
          <cell r="R68">
            <v>4000</v>
          </cell>
          <cell r="S68" t="str">
            <v>A212401431</v>
          </cell>
          <cell r="T68" t="str">
            <v>3299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</row>
        <row r="69">
          <cell r="A69" t="str">
            <v>A2124014313431</v>
          </cell>
          <cell r="B69" t="str">
            <v>3</v>
          </cell>
          <cell r="C69" t="str">
            <v>34</v>
          </cell>
          <cell r="D69" t="str">
            <v>343</v>
          </cell>
          <cell r="E69" t="str">
            <v>A212401</v>
          </cell>
          <cell r="F69">
            <v>431</v>
          </cell>
          <cell r="G69" t="str">
            <v>3431</v>
          </cell>
          <cell r="H69" t="str">
            <v>R0202444</v>
          </cell>
          <cell r="I69" t="str">
            <v>PR00114</v>
          </cell>
          <cell r="J69" t="str">
            <v>Bankarske usluge i usluge platnog prometa</v>
          </cell>
          <cell r="L69">
            <v>14600</v>
          </cell>
          <cell r="M69">
            <v>14600</v>
          </cell>
          <cell r="N69">
            <v>14600</v>
          </cell>
          <cell r="O69">
            <v>11103.71</v>
          </cell>
          <cell r="P69">
            <v>11103.71</v>
          </cell>
          <cell r="Q69"/>
          <cell r="R69">
            <v>14600</v>
          </cell>
          <cell r="S69" t="str">
            <v>A212401431</v>
          </cell>
          <cell r="T69" t="str">
            <v>3431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</row>
        <row r="70">
          <cell r="A70" t="str">
            <v>A2124014313433</v>
          </cell>
          <cell r="B70" t="str">
            <v>3</v>
          </cell>
          <cell r="C70" t="str">
            <v>34</v>
          </cell>
          <cell r="D70" t="str">
            <v>343</v>
          </cell>
          <cell r="E70" t="str">
            <v>A212401</v>
          </cell>
          <cell r="F70">
            <v>431</v>
          </cell>
          <cell r="G70" t="str">
            <v>3433</v>
          </cell>
          <cell r="H70" t="str">
            <v>R0206418</v>
          </cell>
          <cell r="I70" t="str">
            <v>PR00135</v>
          </cell>
          <cell r="J70" t="str">
            <v>Zatezne kamate</v>
          </cell>
          <cell r="L70">
            <v>100</v>
          </cell>
          <cell r="M70">
            <v>100</v>
          </cell>
          <cell r="N70">
            <v>100</v>
          </cell>
          <cell r="O70">
            <v>69.27</v>
          </cell>
          <cell r="P70">
            <v>69.27</v>
          </cell>
          <cell r="Q70"/>
          <cell r="R70">
            <v>100</v>
          </cell>
          <cell r="S70" t="str">
            <v>A212401431</v>
          </cell>
          <cell r="T70" t="str">
            <v>3433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G71" t="str">
            <v>Izvor  5.1.0 PROGRAMI UNIJE</v>
          </cell>
          <cell r="H71"/>
          <cell r="I71"/>
          <cell r="J71"/>
          <cell r="K71" t="str">
            <v>( 510 )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/>
          <cell r="T71"/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</row>
        <row r="72">
          <cell r="A72" t="str">
            <v>A2124015103211</v>
          </cell>
          <cell r="B72" t="str">
            <v>3</v>
          </cell>
          <cell r="C72" t="str">
            <v>32</v>
          </cell>
          <cell r="D72" t="str">
            <v>321</v>
          </cell>
          <cell r="E72" t="str">
            <v>A212401</v>
          </cell>
          <cell r="F72">
            <v>510</v>
          </cell>
          <cell r="G72" t="str">
            <v>3211</v>
          </cell>
          <cell r="H72" t="str">
            <v>R0205878</v>
          </cell>
          <cell r="I72"/>
          <cell r="J72" t="str">
            <v>Službena putovanja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/>
          <cell r="R72">
            <v>0</v>
          </cell>
          <cell r="S72" t="str">
            <v>A212401510</v>
          </cell>
          <cell r="T72" t="str">
            <v>3211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</row>
        <row r="73">
          <cell r="A73" t="str">
            <v>A2124015103213</v>
          </cell>
          <cell r="B73" t="str">
            <v>3</v>
          </cell>
          <cell r="C73" t="str">
            <v>32</v>
          </cell>
          <cell r="D73" t="str">
            <v>321</v>
          </cell>
          <cell r="E73" t="str">
            <v>A212401</v>
          </cell>
          <cell r="F73">
            <v>510</v>
          </cell>
          <cell r="G73" t="str">
            <v>3213</v>
          </cell>
          <cell r="H73" t="str">
            <v>R0205879</v>
          </cell>
          <cell r="I73"/>
          <cell r="J73" t="str">
            <v>Stručno usavršavanje zaposlenika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/>
          <cell r="R73">
            <v>0</v>
          </cell>
          <cell r="S73" t="str">
            <v>A212401510</v>
          </cell>
          <cell r="T73" t="str">
            <v>3213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</row>
        <row r="74">
          <cell r="A74" t="str">
            <v>A2124015103232</v>
          </cell>
          <cell r="B74" t="str">
            <v>3</v>
          </cell>
          <cell r="C74" t="str">
            <v>32</v>
          </cell>
          <cell r="D74" t="str">
            <v>323</v>
          </cell>
          <cell r="E74" t="str">
            <v>A212401</v>
          </cell>
          <cell r="F74">
            <v>510</v>
          </cell>
          <cell r="G74" t="str">
            <v>3232</v>
          </cell>
          <cell r="H74" t="str">
            <v>R9004149</v>
          </cell>
          <cell r="I74"/>
          <cell r="J74" t="str">
            <v>Usluge tekućeg i investicijskog  održavanja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/>
          <cell r="R74">
            <v>0</v>
          </cell>
          <cell r="S74" t="str">
            <v>A212401510</v>
          </cell>
          <cell r="T74" t="str">
            <v>3232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</row>
        <row r="75">
          <cell r="A75" t="str">
            <v>A2124015103233</v>
          </cell>
          <cell r="B75" t="str">
            <v>3</v>
          </cell>
          <cell r="C75" t="str">
            <v>32</v>
          </cell>
          <cell r="D75" t="str">
            <v>323</v>
          </cell>
          <cell r="E75" t="str">
            <v>A212401</v>
          </cell>
          <cell r="F75">
            <v>510</v>
          </cell>
          <cell r="G75" t="str">
            <v>3233</v>
          </cell>
          <cell r="H75" t="str">
            <v>R9021674</v>
          </cell>
          <cell r="I75"/>
          <cell r="J75" t="str">
            <v>Usluge promidžbe i informiranja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/>
          <cell r="R75">
            <v>0</v>
          </cell>
          <cell r="S75" t="str">
            <v>A212401510</v>
          </cell>
          <cell r="T75" t="str">
            <v>3233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</row>
        <row r="76">
          <cell r="A76" t="str">
            <v>A2124015103237</v>
          </cell>
          <cell r="B76" t="str">
            <v>3</v>
          </cell>
          <cell r="C76" t="str">
            <v>32</v>
          </cell>
          <cell r="D76" t="str">
            <v>323</v>
          </cell>
          <cell r="E76" t="str">
            <v>A212401</v>
          </cell>
          <cell r="F76">
            <v>510</v>
          </cell>
          <cell r="G76" t="str">
            <v>3237</v>
          </cell>
          <cell r="H76" t="str">
            <v>R9004148</v>
          </cell>
          <cell r="I76"/>
          <cell r="J76" t="str">
            <v>Intelektualne i osobne usluge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/>
          <cell r="R76">
            <v>0</v>
          </cell>
          <cell r="S76" t="str">
            <v>A212401510</v>
          </cell>
          <cell r="T76" t="str">
            <v>3237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</row>
        <row r="77">
          <cell r="A77" t="str">
            <v>A2124015103293</v>
          </cell>
          <cell r="B77" t="str">
            <v>3</v>
          </cell>
          <cell r="C77" t="str">
            <v>32</v>
          </cell>
          <cell r="D77" t="str">
            <v>329</v>
          </cell>
          <cell r="E77" t="str">
            <v>A212401</v>
          </cell>
          <cell r="F77">
            <v>510</v>
          </cell>
          <cell r="G77" t="str">
            <v>3293</v>
          </cell>
          <cell r="H77" t="str">
            <v>R9021675</v>
          </cell>
          <cell r="I77"/>
          <cell r="J77" t="str">
            <v>Reprezentacija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/>
          <cell r="R77">
            <v>0</v>
          </cell>
          <cell r="S77" t="str">
            <v>A212401510</v>
          </cell>
          <cell r="T77" t="str">
            <v>3293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</row>
        <row r="78">
          <cell r="G78" t="str">
            <v>Izvor  5.2.1 POMOĆI IZ DRUGIH PRORAČUNA-PK</v>
          </cell>
          <cell r="H78"/>
          <cell r="I78"/>
          <cell r="J78"/>
          <cell r="K78" t="str">
            <v>( 11, 111, 511, 512 )</v>
          </cell>
          <cell r="L78">
            <v>859400</v>
          </cell>
          <cell r="M78">
            <v>874000</v>
          </cell>
          <cell r="N78">
            <v>859400</v>
          </cell>
          <cell r="O78">
            <v>460465.05</v>
          </cell>
          <cell r="P78">
            <v>460465.05</v>
          </cell>
          <cell r="Q78">
            <v>0</v>
          </cell>
          <cell r="R78">
            <v>0</v>
          </cell>
          <cell r="S78"/>
          <cell r="T78"/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</row>
        <row r="79">
          <cell r="A79" t="str">
            <v>A2124015213111</v>
          </cell>
          <cell r="B79" t="str">
            <v>3</v>
          </cell>
          <cell r="C79" t="str">
            <v>31</v>
          </cell>
          <cell r="D79" t="str">
            <v>311</v>
          </cell>
          <cell r="E79" t="str">
            <v>A212401</v>
          </cell>
          <cell r="F79">
            <v>521</v>
          </cell>
          <cell r="G79" t="str">
            <v>3111</v>
          </cell>
          <cell r="H79" t="str">
            <v>R0205839</v>
          </cell>
          <cell r="I79" t="str">
            <v>PR00030</v>
          </cell>
          <cell r="J79" t="str">
            <v>Plaće za redovan rad     Izvor 11</v>
          </cell>
          <cell r="L79">
            <v>613000</v>
          </cell>
          <cell r="M79">
            <v>607000</v>
          </cell>
          <cell r="N79">
            <v>613000</v>
          </cell>
          <cell r="O79">
            <v>311852.18</v>
          </cell>
          <cell r="P79">
            <v>311852.18</v>
          </cell>
          <cell r="Q79"/>
          <cell r="R79"/>
          <cell r="S79" t="str">
            <v>A212401521</v>
          </cell>
          <cell r="T79" t="str">
            <v>3111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</row>
        <row r="80">
          <cell r="A80" t="str">
            <v>A2124015213121</v>
          </cell>
          <cell r="B80" t="str">
            <v>3</v>
          </cell>
          <cell r="C80" t="str">
            <v>31</v>
          </cell>
          <cell r="D80" t="str">
            <v>312</v>
          </cell>
          <cell r="E80" t="str">
            <v>A212401</v>
          </cell>
          <cell r="F80">
            <v>521</v>
          </cell>
          <cell r="G80" t="str">
            <v>3121</v>
          </cell>
          <cell r="H80" t="str">
            <v>R0205841</v>
          </cell>
          <cell r="I80" t="str">
            <v>PR00182</v>
          </cell>
          <cell r="J80" t="str">
            <v>Ostali rashodi za zaposlene</v>
          </cell>
          <cell r="L80">
            <v>32300</v>
          </cell>
          <cell r="M80">
            <v>41300</v>
          </cell>
          <cell r="N80">
            <v>32300</v>
          </cell>
          <cell r="O80">
            <v>49320.9200000001</v>
          </cell>
          <cell r="P80">
            <v>49320.9200000001</v>
          </cell>
          <cell r="Q80"/>
          <cell r="R80"/>
          <cell r="S80" t="str">
            <v>A212401521</v>
          </cell>
          <cell r="T80" t="str">
            <v>3121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</row>
        <row r="81">
          <cell r="A81" t="str">
            <v>A2124015213132</v>
          </cell>
          <cell r="B81" t="str">
            <v>3</v>
          </cell>
          <cell r="C81" t="str">
            <v>31</v>
          </cell>
          <cell r="D81" t="str">
            <v>313</v>
          </cell>
          <cell r="E81" t="str">
            <v>A212401</v>
          </cell>
          <cell r="F81">
            <v>521</v>
          </cell>
          <cell r="G81" t="str">
            <v>3132</v>
          </cell>
          <cell r="H81" t="str">
            <v>R0205843</v>
          </cell>
          <cell r="I81" t="str">
            <v>PR00031</v>
          </cell>
          <cell r="J81" t="str">
            <v>Doprinosi za obvezno zdravstveno osiguranje</v>
          </cell>
          <cell r="L81">
            <v>100700</v>
          </cell>
          <cell r="M81">
            <v>97700</v>
          </cell>
          <cell r="N81">
            <v>100700</v>
          </cell>
          <cell r="O81">
            <v>59637.329999999834</v>
          </cell>
          <cell r="P81">
            <v>59637.329999999834</v>
          </cell>
          <cell r="Q81"/>
          <cell r="R81"/>
          <cell r="S81" t="str">
            <v>A212401521</v>
          </cell>
          <cell r="T81" t="str">
            <v>3132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</row>
        <row r="82">
          <cell r="A82" t="str">
            <v>A2124015213211</v>
          </cell>
          <cell r="B82" t="str">
            <v>3</v>
          </cell>
          <cell r="C82" t="str">
            <v>32</v>
          </cell>
          <cell r="D82" t="str">
            <v>321</v>
          </cell>
          <cell r="E82" t="str">
            <v>A212401</v>
          </cell>
          <cell r="F82">
            <v>521</v>
          </cell>
          <cell r="G82" t="str">
            <v>3211</v>
          </cell>
          <cell r="H82" t="str">
            <v>R0205845</v>
          </cell>
          <cell r="I82" t="str">
            <v>PR00033</v>
          </cell>
          <cell r="J82" t="str">
            <v>Službena putovanja</v>
          </cell>
          <cell r="L82">
            <v>1600</v>
          </cell>
          <cell r="M82">
            <v>2700</v>
          </cell>
          <cell r="N82">
            <v>1600</v>
          </cell>
          <cell r="O82">
            <v>1339.2</v>
          </cell>
          <cell r="P82">
            <v>1339.2</v>
          </cell>
          <cell r="Q82"/>
          <cell r="R82"/>
          <cell r="S82" t="str">
            <v>A212401521</v>
          </cell>
          <cell r="T82" t="str">
            <v>3211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</row>
        <row r="83">
          <cell r="A83" t="str">
            <v>A2124015213212</v>
          </cell>
          <cell r="B83" t="str">
            <v>3</v>
          </cell>
          <cell r="C83" t="str">
            <v>32</v>
          </cell>
          <cell r="D83" t="str">
            <v>321</v>
          </cell>
          <cell r="E83" t="str">
            <v>A212401</v>
          </cell>
          <cell r="F83">
            <v>521</v>
          </cell>
          <cell r="G83" t="str">
            <v>3212</v>
          </cell>
          <cell r="H83" t="str">
            <v>R0205846</v>
          </cell>
          <cell r="I83" t="str">
            <v>PR00157</v>
          </cell>
          <cell r="J83" t="str">
            <v>Naknade za prijevoz, za rad na terenu i odvojeni život</v>
          </cell>
          <cell r="L83">
            <v>13500</v>
          </cell>
          <cell r="M83">
            <v>13500</v>
          </cell>
          <cell r="N83">
            <v>13500</v>
          </cell>
          <cell r="O83">
            <v>5332.8</v>
          </cell>
          <cell r="P83">
            <v>5332.8</v>
          </cell>
          <cell r="Q83"/>
          <cell r="R83"/>
          <cell r="S83" t="str">
            <v>A212401521</v>
          </cell>
          <cell r="T83" t="str">
            <v>3212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</row>
        <row r="84">
          <cell r="A84" t="str">
            <v>A2124015213213</v>
          </cell>
          <cell r="B84" t="str">
            <v>3</v>
          </cell>
          <cell r="C84" t="str">
            <v>32</v>
          </cell>
          <cell r="D84" t="str">
            <v>321</v>
          </cell>
          <cell r="E84" t="str">
            <v>A212401</v>
          </cell>
          <cell r="F84">
            <v>521</v>
          </cell>
          <cell r="G84" t="str">
            <v>3213</v>
          </cell>
          <cell r="H84" t="str">
            <v>R0205847</v>
          </cell>
          <cell r="I84" t="str">
            <v>PR00034</v>
          </cell>
          <cell r="J84" t="str">
            <v>Stručno usavršavanje zaposlenika</v>
          </cell>
          <cell r="L84">
            <v>5300</v>
          </cell>
          <cell r="M84">
            <v>1800</v>
          </cell>
          <cell r="N84">
            <v>5300</v>
          </cell>
          <cell r="O84">
            <v>253.8</v>
          </cell>
          <cell r="P84">
            <v>253.8</v>
          </cell>
          <cell r="Q84"/>
          <cell r="R84"/>
          <cell r="S84" t="str">
            <v>A212401521</v>
          </cell>
          <cell r="T84" t="str">
            <v>3213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</row>
        <row r="85">
          <cell r="A85" t="str">
            <v>A2124015213214</v>
          </cell>
          <cell r="B85" t="str">
            <v>3</v>
          </cell>
          <cell r="C85" t="str">
            <v>32</v>
          </cell>
          <cell r="D85" t="str">
            <v>321</v>
          </cell>
          <cell r="E85" t="str">
            <v>A212401</v>
          </cell>
          <cell r="F85">
            <v>521</v>
          </cell>
          <cell r="G85" t="str">
            <v>3214</v>
          </cell>
          <cell r="H85" t="str">
            <v>R9002673</v>
          </cell>
          <cell r="I85" t="str">
            <v>PR00313</v>
          </cell>
          <cell r="J85" t="str">
            <v>Ostale naknade troškova zaposlenima</v>
          </cell>
          <cell r="L85">
            <v>600</v>
          </cell>
          <cell r="M85">
            <v>600</v>
          </cell>
          <cell r="N85">
            <v>600</v>
          </cell>
          <cell r="O85">
            <v>654</v>
          </cell>
          <cell r="P85">
            <v>654</v>
          </cell>
          <cell r="Q85"/>
          <cell r="R85"/>
          <cell r="S85" t="str">
            <v>A212401521</v>
          </cell>
          <cell r="T85" t="str">
            <v>3214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</row>
        <row r="86">
          <cell r="A86" t="str">
            <v>A2124015213221</v>
          </cell>
          <cell r="B86" t="str">
            <v>3</v>
          </cell>
          <cell r="C86" t="str">
            <v>32</v>
          </cell>
          <cell r="D86" t="str">
            <v>322</v>
          </cell>
          <cell r="E86" t="str">
            <v>A212401</v>
          </cell>
          <cell r="F86">
            <v>521</v>
          </cell>
          <cell r="G86" t="str">
            <v>3221</v>
          </cell>
          <cell r="H86" t="str">
            <v>R0205848</v>
          </cell>
          <cell r="I86" t="str">
            <v>PR00035</v>
          </cell>
          <cell r="J86" t="str">
            <v>Uredski materijal i ostali materijalni rashodi</v>
          </cell>
          <cell r="L86">
            <v>5700</v>
          </cell>
          <cell r="M86">
            <v>5200</v>
          </cell>
          <cell r="N86">
            <v>5700</v>
          </cell>
          <cell r="O86">
            <v>1130.73</v>
          </cell>
          <cell r="P86">
            <v>1130.73</v>
          </cell>
          <cell r="Q86"/>
          <cell r="R86"/>
          <cell r="S86" t="str">
            <v>A212401521</v>
          </cell>
          <cell r="T86" t="str">
            <v>3221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</row>
        <row r="87">
          <cell r="A87" t="str">
            <v>A2124015213222</v>
          </cell>
          <cell r="B87" t="str">
            <v>3</v>
          </cell>
          <cell r="C87" t="str">
            <v>32</v>
          </cell>
          <cell r="D87" t="str">
            <v>322</v>
          </cell>
          <cell r="E87" t="str">
            <v>A212401</v>
          </cell>
          <cell r="F87">
            <v>521</v>
          </cell>
          <cell r="G87" t="str">
            <v>3222</v>
          </cell>
          <cell r="H87" t="str">
            <v>R0205849</v>
          </cell>
          <cell r="I87" t="str">
            <v>PR00036</v>
          </cell>
          <cell r="J87" t="str">
            <v>Materijal i sirovine</v>
          </cell>
          <cell r="L87">
            <v>5200</v>
          </cell>
          <cell r="M87">
            <v>5000</v>
          </cell>
          <cell r="N87">
            <v>5200</v>
          </cell>
          <cell r="O87">
            <v>83.45</v>
          </cell>
          <cell r="P87">
            <v>83.45</v>
          </cell>
          <cell r="Q87"/>
          <cell r="R87"/>
          <cell r="S87" t="str">
            <v>A212401521</v>
          </cell>
          <cell r="T87" t="str">
            <v>3222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</row>
        <row r="88">
          <cell r="A88" t="str">
            <v>A2124015213223</v>
          </cell>
          <cell r="B88" t="str">
            <v>3</v>
          </cell>
          <cell r="C88" t="str">
            <v>32</v>
          </cell>
          <cell r="D88" t="str">
            <v>322</v>
          </cell>
          <cell r="E88" t="str">
            <v>A212401</v>
          </cell>
          <cell r="F88">
            <v>521</v>
          </cell>
          <cell r="G88" t="str">
            <v>3223</v>
          </cell>
          <cell r="H88" t="str">
            <v>R0205850</v>
          </cell>
          <cell r="I88">
            <v>0</v>
          </cell>
          <cell r="J88" t="str">
            <v>Energija</v>
          </cell>
          <cell r="L88">
            <v>12000</v>
          </cell>
          <cell r="M88">
            <v>12000</v>
          </cell>
          <cell r="N88">
            <v>12000</v>
          </cell>
          <cell r="O88">
            <v>13144.509999999991</v>
          </cell>
          <cell r="P88">
            <v>13144.509999999991</v>
          </cell>
          <cell r="Q88"/>
          <cell r="R88"/>
          <cell r="S88" t="str">
            <v>A212401521</v>
          </cell>
          <cell r="T88" t="str">
            <v>3223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</row>
        <row r="89">
          <cell r="A89" t="str">
            <v>A2124015213224</v>
          </cell>
          <cell r="B89" t="str">
            <v>3</v>
          </cell>
          <cell r="C89" t="str">
            <v>32</v>
          </cell>
          <cell r="D89" t="str">
            <v>322</v>
          </cell>
          <cell r="E89" t="str">
            <v>A212401</v>
          </cell>
          <cell r="F89">
            <v>521</v>
          </cell>
          <cell r="G89" t="str">
            <v>3224</v>
          </cell>
          <cell r="H89" t="str">
            <v>R9002674</v>
          </cell>
          <cell r="I89">
            <v>0</v>
          </cell>
          <cell r="J89" t="str">
            <v>Materijal i dijelovi za tekuće i investicijsko održavanje</v>
          </cell>
          <cell r="L89">
            <v>6000</v>
          </cell>
          <cell r="M89">
            <v>6200</v>
          </cell>
          <cell r="N89">
            <v>6000</v>
          </cell>
          <cell r="O89">
            <v>0</v>
          </cell>
          <cell r="P89">
            <v>0</v>
          </cell>
          <cell r="Q89"/>
          <cell r="R89"/>
          <cell r="S89" t="str">
            <v>A212401521</v>
          </cell>
          <cell r="T89" t="str">
            <v>3224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</row>
        <row r="90">
          <cell r="A90" t="str">
            <v>A2124015213225</v>
          </cell>
          <cell r="B90" t="str">
            <v>3</v>
          </cell>
          <cell r="C90" t="str">
            <v>32</v>
          </cell>
          <cell r="D90" t="str">
            <v>322</v>
          </cell>
          <cell r="E90" t="str">
            <v>A212401</v>
          </cell>
          <cell r="F90">
            <v>521</v>
          </cell>
          <cell r="G90" t="str">
            <v>3225</v>
          </cell>
          <cell r="H90" t="str">
            <v>R0205851</v>
          </cell>
          <cell r="I90">
            <v>0</v>
          </cell>
          <cell r="J90" t="str">
            <v>Sitni inventar i autogume</v>
          </cell>
          <cell r="L90">
            <v>6000</v>
          </cell>
          <cell r="M90">
            <v>6000</v>
          </cell>
          <cell r="N90">
            <v>6000</v>
          </cell>
          <cell r="O90">
            <v>0</v>
          </cell>
          <cell r="P90">
            <v>0</v>
          </cell>
          <cell r="Q90"/>
          <cell r="R90"/>
          <cell r="S90" t="str">
            <v>A212401521</v>
          </cell>
          <cell r="T90" t="str">
            <v>3225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</row>
        <row r="91">
          <cell r="A91" t="str">
            <v>A2124015213227</v>
          </cell>
          <cell r="B91" t="str">
            <v>3</v>
          </cell>
          <cell r="C91" t="str">
            <v>32</v>
          </cell>
          <cell r="D91" t="str">
            <v>322</v>
          </cell>
          <cell r="E91" t="str">
            <v>A212401</v>
          </cell>
          <cell r="F91">
            <v>521</v>
          </cell>
          <cell r="G91" t="str">
            <v>3227</v>
          </cell>
          <cell r="H91" t="str">
            <v>R0205852</v>
          </cell>
          <cell r="I91">
            <v>0</v>
          </cell>
          <cell r="J91" t="str">
            <v>Službena, radna i zaštitna odjeća i obuća</v>
          </cell>
          <cell r="L91">
            <v>200</v>
          </cell>
          <cell r="M91">
            <v>200</v>
          </cell>
          <cell r="N91">
            <v>200</v>
          </cell>
          <cell r="O91">
            <v>0</v>
          </cell>
          <cell r="P91">
            <v>0</v>
          </cell>
          <cell r="Q91"/>
          <cell r="R91"/>
          <cell r="S91" t="str">
            <v>A212401521</v>
          </cell>
          <cell r="T91" t="str">
            <v>3227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</row>
        <row r="92">
          <cell r="A92" t="str">
            <v>A2124015213231</v>
          </cell>
          <cell r="B92" t="str">
            <v>3</v>
          </cell>
          <cell r="C92" t="str">
            <v>32</v>
          </cell>
          <cell r="D92" t="str">
            <v>323</v>
          </cell>
          <cell r="E92" t="str">
            <v>A212401</v>
          </cell>
          <cell r="F92">
            <v>521</v>
          </cell>
          <cell r="G92" t="str">
            <v>3231</v>
          </cell>
          <cell r="H92" t="str">
            <v>R0205853</v>
          </cell>
          <cell r="I92" t="str">
            <v>PR00038</v>
          </cell>
          <cell r="J92" t="str">
            <v>Usluge telefona, interneta, pošte i prijevoza</v>
          </cell>
          <cell r="L92">
            <v>4000</v>
          </cell>
          <cell r="M92">
            <v>3800</v>
          </cell>
          <cell r="N92">
            <v>4000</v>
          </cell>
          <cell r="O92">
            <v>1320.52</v>
          </cell>
          <cell r="P92">
            <v>1320.52</v>
          </cell>
          <cell r="Q92"/>
          <cell r="R92"/>
          <cell r="S92" t="str">
            <v>A212401521</v>
          </cell>
          <cell r="T92" t="str">
            <v>3231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A2124015213232</v>
          </cell>
          <cell r="B93" t="str">
            <v>3</v>
          </cell>
          <cell r="C93" t="str">
            <v>32</v>
          </cell>
          <cell r="D93" t="str">
            <v>323</v>
          </cell>
          <cell r="E93" t="str">
            <v>A212401</v>
          </cell>
          <cell r="F93">
            <v>521</v>
          </cell>
          <cell r="G93" t="str">
            <v>3232</v>
          </cell>
          <cell r="H93" t="str">
            <v>R0205854</v>
          </cell>
          <cell r="I93">
            <v>0</v>
          </cell>
          <cell r="J93" t="str">
            <v>Usluge tekućeg i investicijskog  održavanja</v>
          </cell>
          <cell r="L93">
            <v>22200</v>
          </cell>
          <cell r="M93">
            <v>22000</v>
          </cell>
          <cell r="N93">
            <v>22200</v>
          </cell>
          <cell r="O93">
            <v>2556.73</v>
          </cell>
          <cell r="P93">
            <v>2556.73</v>
          </cell>
          <cell r="Q93"/>
          <cell r="R93"/>
          <cell r="S93" t="str">
            <v>A212401521</v>
          </cell>
          <cell r="T93" t="str">
            <v>3232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</row>
        <row r="94">
          <cell r="A94" t="str">
            <v>A2124015213234</v>
          </cell>
          <cell r="B94" t="str">
            <v>3</v>
          </cell>
          <cell r="C94" t="str">
            <v>32</v>
          </cell>
          <cell r="D94" t="str">
            <v>323</v>
          </cell>
          <cell r="E94" t="str">
            <v>A212401</v>
          </cell>
          <cell r="F94">
            <v>521</v>
          </cell>
          <cell r="G94" t="str">
            <v>3234</v>
          </cell>
          <cell r="H94" t="str">
            <v>R0205856</v>
          </cell>
          <cell r="I94">
            <v>0</v>
          </cell>
          <cell r="J94" t="str">
            <v>Komunalne usluge</v>
          </cell>
          <cell r="L94">
            <v>8700</v>
          </cell>
          <cell r="M94">
            <v>8700</v>
          </cell>
          <cell r="N94">
            <v>8700</v>
          </cell>
          <cell r="O94">
            <v>3875.52</v>
          </cell>
          <cell r="P94">
            <v>3875.52</v>
          </cell>
          <cell r="Q94"/>
          <cell r="R94"/>
          <cell r="S94" t="str">
            <v>A212401521</v>
          </cell>
          <cell r="T94" t="str">
            <v>3234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</row>
        <row r="95">
          <cell r="A95" t="str">
            <v>A2124015213235</v>
          </cell>
          <cell r="B95" t="str">
            <v>3</v>
          </cell>
          <cell r="C95" t="str">
            <v>32</v>
          </cell>
          <cell r="D95" t="str">
            <v>323</v>
          </cell>
          <cell r="E95" t="str">
            <v>A212401</v>
          </cell>
          <cell r="F95">
            <v>521</v>
          </cell>
          <cell r="G95" t="str">
            <v>3235</v>
          </cell>
          <cell r="H95" t="str">
            <v>R0205857</v>
          </cell>
          <cell r="I95" t="str">
            <v>PR00317</v>
          </cell>
          <cell r="J95" t="str">
            <v>Zakupnine i najamnine</v>
          </cell>
          <cell r="L95">
            <v>1300</v>
          </cell>
          <cell r="M95">
            <v>8700</v>
          </cell>
          <cell r="N95">
            <v>1300</v>
          </cell>
          <cell r="O95">
            <v>1885.14</v>
          </cell>
          <cell r="P95">
            <v>1885.14</v>
          </cell>
          <cell r="Q95"/>
          <cell r="R95"/>
          <cell r="S95" t="str">
            <v>A212401521</v>
          </cell>
          <cell r="T95" t="str">
            <v>3235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A96" t="str">
            <v>A2124015213236</v>
          </cell>
          <cell r="B96" t="str">
            <v>3</v>
          </cell>
          <cell r="C96" t="str">
            <v>32</v>
          </cell>
          <cell r="D96" t="str">
            <v>323</v>
          </cell>
          <cell r="E96" t="str">
            <v>A212401</v>
          </cell>
          <cell r="F96">
            <v>521</v>
          </cell>
          <cell r="G96" t="str">
            <v>3236</v>
          </cell>
          <cell r="H96" t="str">
            <v>R0205858</v>
          </cell>
          <cell r="I96">
            <v>0</v>
          </cell>
          <cell r="J96" t="str">
            <v>Zdravstvene i veterinarske usluge</v>
          </cell>
          <cell r="L96">
            <v>600</v>
          </cell>
          <cell r="M96">
            <v>600</v>
          </cell>
          <cell r="N96">
            <v>600</v>
          </cell>
          <cell r="O96">
            <v>0</v>
          </cell>
          <cell r="P96">
            <v>0</v>
          </cell>
          <cell r="Q96"/>
          <cell r="R96"/>
          <cell r="S96" t="str">
            <v>A212401521</v>
          </cell>
          <cell r="T96" t="str">
            <v>3236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 t="str">
            <v>A2124015213237</v>
          </cell>
          <cell r="B97" t="str">
            <v>3</v>
          </cell>
          <cell r="C97" t="str">
            <v>32</v>
          </cell>
          <cell r="D97" t="str">
            <v>323</v>
          </cell>
          <cell r="E97" t="str">
            <v>A212401</v>
          </cell>
          <cell r="F97">
            <v>521</v>
          </cell>
          <cell r="G97" t="str">
            <v>3237</v>
          </cell>
          <cell r="H97" t="str">
            <v>R0205859</v>
          </cell>
          <cell r="I97" t="str">
            <v>PR00039</v>
          </cell>
          <cell r="J97" t="str">
            <v>Intelektualne i osobne usluge</v>
          </cell>
          <cell r="L97">
            <v>2000</v>
          </cell>
          <cell r="M97">
            <v>2000</v>
          </cell>
          <cell r="N97">
            <v>2000</v>
          </cell>
          <cell r="O97">
            <v>0</v>
          </cell>
          <cell r="P97">
            <v>0</v>
          </cell>
          <cell r="Q97"/>
          <cell r="R97"/>
          <cell r="S97" t="str">
            <v>A212401521</v>
          </cell>
          <cell r="T97" t="str">
            <v>3237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</row>
        <row r="98">
          <cell r="A98" t="str">
            <v>A2124015213238</v>
          </cell>
          <cell r="B98" t="str">
            <v>3</v>
          </cell>
          <cell r="C98" t="str">
            <v>32</v>
          </cell>
          <cell r="D98" t="str">
            <v>323</v>
          </cell>
          <cell r="E98" t="str">
            <v>A212401</v>
          </cell>
          <cell r="F98">
            <v>521</v>
          </cell>
          <cell r="G98" t="str">
            <v>3238</v>
          </cell>
          <cell r="H98" t="str">
            <v>R0205860</v>
          </cell>
          <cell r="I98">
            <v>0</v>
          </cell>
          <cell r="J98" t="str">
            <v>Računalne usluge</v>
          </cell>
          <cell r="L98">
            <v>5400</v>
          </cell>
          <cell r="M98">
            <v>5400</v>
          </cell>
          <cell r="N98">
            <v>5400</v>
          </cell>
          <cell r="O98">
            <v>125.55</v>
          </cell>
          <cell r="P98">
            <v>125.55</v>
          </cell>
          <cell r="Q98"/>
          <cell r="R98"/>
          <cell r="S98" t="str">
            <v>A212401521</v>
          </cell>
          <cell r="T98" t="str">
            <v>3238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A99" t="str">
            <v>A2124015213239</v>
          </cell>
          <cell r="B99" t="str">
            <v>3</v>
          </cell>
          <cell r="C99" t="str">
            <v>32</v>
          </cell>
          <cell r="D99" t="str">
            <v>323</v>
          </cell>
          <cell r="E99" t="str">
            <v>A212401</v>
          </cell>
          <cell r="F99">
            <v>521</v>
          </cell>
          <cell r="G99" t="str">
            <v>3239</v>
          </cell>
          <cell r="H99" t="str">
            <v>R0205861</v>
          </cell>
          <cell r="I99" t="str">
            <v>PR00041</v>
          </cell>
          <cell r="J99" t="str">
            <v>Ostale usluge</v>
          </cell>
          <cell r="L99">
            <v>3900</v>
          </cell>
          <cell r="M99">
            <v>11900</v>
          </cell>
          <cell r="N99">
            <v>3900</v>
          </cell>
          <cell r="O99">
            <v>6964.21</v>
          </cell>
          <cell r="P99">
            <v>6964.21</v>
          </cell>
          <cell r="Q99"/>
          <cell r="R99"/>
          <cell r="S99" t="str">
            <v>A212401521</v>
          </cell>
          <cell r="T99" t="str">
            <v>3239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</row>
        <row r="100">
          <cell r="A100" t="str">
            <v>A2124015213241</v>
          </cell>
          <cell r="B100" t="str">
            <v>3</v>
          </cell>
          <cell r="C100" t="str">
            <v>32</v>
          </cell>
          <cell r="D100" t="str">
            <v>324</v>
          </cell>
          <cell r="E100" t="str">
            <v>A212401</v>
          </cell>
          <cell r="F100">
            <v>521</v>
          </cell>
          <cell r="G100">
            <v>3241</v>
          </cell>
          <cell r="H100"/>
          <cell r="I100"/>
          <cell r="J100"/>
          <cell r="L100"/>
          <cell r="M100"/>
          <cell r="N100"/>
          <cell r="O100">
            <v>0</v>
          </cell>
          <cell r="P100">
            <v>0</v>
          </cell>
          <cell r="Q100"/>
          <cell r="R100"/>
          <cell r="S100" t="str">
            <v>A212401521</v>
          </cell>
          <cell r="T100">
            <v>3241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</row>
        <row r="101">
          <cell r="A101" t="str">
            <v>A2124015213292</v>
          </cell>
          <cell r="B101" t="str">
            <v>3</v>
          </cell>
          <cell r="C101" t="str">
            <v>32</v>
          </cell>
          <cell r="D101" t="str">
            <v>329</v>
          </cell>
          <cell r="E101" t="str">
            <v>A212401</v>
          </cell>
          <cell r="F101">
            <v>521</v>
          </cell>
          <cell r="G101" t="str">
            <v>3292</v>
          </cell>
          <cell r="H101" t="str">
            <v>R0205863</v>
          </cell>
          <cell r="I101">
            <v>0</v>
          </cell>
          <cell r="J101" t="str">
            <v>Premije osiguranja</v>
          </cell>
          <cell r="L101">
            <v>2500</v>
          </cell>
          <cell r="M101">
            <v>4000</v>
          </cell>
          <cell r="N101">
            <v>2500</v>
          </cell>
          <cell r="O101">
            <v>299.08</v>
          </cell>
          <cell r="P101">
            <v>299.08</v>
          </cell>
          <cell r="Q101"/>
          <cell r="R101"/>
          <cell r="S101" t="str">
            <v>A212401521</v>
          </cell>
          <cell r="T101" t="str">
            <v>3292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</row>
        <row r="102">
          <cell r="A102" t="str">
            <v>A2124015213293</v>
          </cell>
          <cell r="B102" t="str">
            <v>3</v>
          </cell>
          <cell r="C102" t="str">
            <v>32</v>
          </cell>
          <cell r="D102" t="str">
            <v>329</v>
          </cell>
          <cell r="E102" t="str">
            <v>A212401</v>
          </cell>
          <cell r="F102">
            <v>521</v>
          </cell>
          <cell r="G102" t="str">
            <v>3293</v>
          </cell>
          <cell r="H102" t="str">
            <v>R0205864</v>
          </cell>
          <cell r="I102" t="str">
            <v>PR00200</v>
          </cell>
          <cell r="J102" t="str">
            <v>Reprezentacija</v>
          </cell>
          <cell r="L102">
            <v>1500</v>
          </cell>
          <cell r="M102">
            <v>2500</v>
          </cell>
          <cell r="N102">
            <v>1500</v>
          </cell>
          <cell r="O102">
            <v>583.23</v>
          </cell>
          <cell r="P102">
            <v>583.23</v>
          </cell>
          <cell r="Q102"/>
          <cell r="R102"/>
          <cell r="S102" t="str">
            <v>A212401521</v>
          </cell>
          <cell r="T102" t="str">
            <v>3293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</row>
        <row r="103">
          <cell r="A103" t="str">
            <v>A2124015213294</v>
          </cell>
          <cell r="B103" t="str">
            <v>3</v>
          </cell>
          <cell r="C103" t="str">
            <v>32</v>
          </cell>
          <cell r="D103" t="str">
            <v>329</v>
          </cell>
          <cell r="E103" t="str">
            <v>A212401</v>
          </cell>
          <cell r="F103">
            <v>521</v>
          </cell>
          <cell r="G103" t="str">
            <v>3294</v>
          </cell>
          <cell r="H103" t="str">
            <v>R0205865</v>
          </cell>
          <cell r="I103">
            <v>0</v>
          </cell>
          <cell r="J103" t="str">
            <v>Članarine i norme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/>
          <cell r="R103"/>
          <cell r="S103" t="str">
            <v>A212401521</v>
          </cell>
          <cell r="T103" t="str">
            <v>3294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A104" t="str">
            <v>A2124015213295</v>
          </cell>
          <cell r="B104" t="str">
            <v>3</v>
          </cell>
          <cell r="C104" t="str">
            <v>32</v>
          </cell>
          <cell r="D104" t="str">
            <v>329</v>
          </cell>
          <cell r="E104" t="str">
            <v>A212401</v>
          </cell>
          <cell r="F104">
            <v>521</v>
          </cell>
          <cell r="G104" t="str">
            <v>3295</v>
          </cell>
          <cell r="H104" t="str">
            <v>R0205866</v>
          </cell>
          <cell r="I104">
            <v>0</v>
          </cell>
          <cell r="J104" t="str">
            <v>Pristojbe i naknade</v>
          </cell>
          <cell r="L104">
            <v>600</v>
          </cell>
          <cell r="M104">
            <v>600</v>
          </cell>
          <cell r="N104">
            <v>600</v>
          </cell>
          <cell r="O104">
            <v>106.15</v>
          </cell>
          <cell r="P104">
            <v>106.15</v>
          </cell>
          <cell r="Q104"/>
          <cell r="R104"/>
          <cell r="S104" t="str">
            <v>A212401521</v>
          </cell>
          <cell r="T104" t="str">
            <v>3295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 t="str">
            <v>A2124015213299</v>
          </cell>
          <cell r="B105" t="str">
            <v>3</v>
          </cell>
          <cell r="C105" t="str">
            <v>32</v>
          </cell>
          <cell r="D105" t="str">
            <v>329</v>
          </cell>
          <cell r="E105" t="str">
            <v>A212401</v>
          </cell>
          <cell r="F105">
            <v>521</v>
          </cell>
          <cell r="G105" t="str">
            <v>3299</v>
          </cell>
          <cell r="H105" t="str">
            <v>R0205868</v>
          </cell>
          <cell r="I105">
            <v>0</v>
          </cell>
          <cell r="J105" t="str">
            <v>Ostali nespomenuti rashodi poslovanja</v>
          </cell>
          <cell r="L105">
            <v>1700</v>
          </cell>
          <cell r="M105">
            <v>1700</v>
          </cell>
          <cell r="N105">
            <v>1700</v>
          </cell>
          <cell r="O105">
            <v>0</v>
          </cell>
          <cell r="P105">
            <v>0</v>
          </cell>
          <cell r="Q105"/>
          <cell r="R105"/>
          <cell r="S105" t="str">
            <v>A212401521</v>
          </cell>
          <cell r="T105" t="str">
            <v>3299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</row>
        <row r="106">
          <cell r="A106" t="str">
            <v>A2124015213431</v>
          </cell>
          <cell r="B106" t="str">
            <v>3</v>
          </cell>
          <cell r="C106" t="str">
            <v>34</v>
          </cell>
          <cell r="D106" t="str">
            <v>343</v>
          </cell>
          <cell r="E106" t="str">
            <v>A212401</v>
          </cell>
          <cell r="F106">
            <v>521</v>
          </cell>
          <cell r="G106" t="str">
            <v>3431</v>
          </cell>
          <cell r="H106" t="str">
            <v>R0205870</v>
          </cell>
          <cell r="I106">
            <v>0</v>
          </cell>
          <cell r="J106" t="str">
            <v>Bankarske usluge i usluge platnog prometa</v>
          </cell>
          <cell r="L106">
            <v>2700</v>
          </cell>
          <cell r="M106">
            <v>2700</v>
          </cell>
          <cell r="N106">
            <v>2700</v>
          </cell>
          <cell r="O106">
            <v>0</v>
          </cell>
          <cell r="P106">
            <v>0</v>
          </cell>
          <cell r="Q106"/>
          <cell r="R106"/>
          <cell r="S106" t="str">
            <v>A212401521</v>
          </cell>
          <cell r="T106" t="str">
            <v>3431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</row>
        <row r="107">
          <cell r="A107" t="str">
            <v>A2124015213433</v>
          </cell>
          <cell r="B107" t="str">
            <v>3</v>
          </cell>
          <cell r="C107" t="str">
            <v>34</v>
          </cell>
          <cell r="D107" t="str">
            <v>343</v>
          </cell>
          <cell r="E107" t="str">
            <v>A212401</v>
          </cell>
          <cell r="F107">
            <v>521</v>
          </cell>
          <cell r="G107" t="str">
            <v>3433</v>
          </cell>
          <cell r="H107" t="str">
            <v>R0205872</v>
          </cell>
          <cell r="I107">
            <v>0</v>
          </cell>
          <cell r="J107" t="str">
            <v>Zatezne kamate</v>
          </cell>
          <cell r="L107">
            <v>200</v>
          </cell>
          <cell r="M107">
            <v>200</v>
          </cell>
          <cell r="N107">
            <v>200</v>
          </cell>
          <cell r="O107">
            <v>0</v>
          </cell>
          <cell r="P107">
            <v>0</v>
          </cell>
          <cell r="Q107"/>
          <cell r="R107"/>
          <cell r="S107" t="str">
            <v>A212401521</v>
          </cell>
          <cell r="T107" t="str">
            <v>3433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</row>
        <row r="108">
          <cell r="G108" t="str">
            <v>Izvor  5.4.1 POMOĆI OD MEĐUNARODNIH ORGANIZACIJA-PK</v>
          </cell>
          <cell r="H108"/>
          <cell r="I108"/>
          <cell r="J108"/>
          <cell r="K108" t="str">
            <v>( 521, 541 )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/>
          <cell r="T108"/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</row>
        <row r="109">
          <cell r="A109" t="str">
            <v>A2124015413221</v>
          </cell>
          <cell r="B109" t="str">
            <v>3</v>
          </cell>
          <cell r="C109" t="str">
            <v>32</v>
          </cell>
          <cell r="D109" t="str">
            <v>322</v>
          </cell>
          <cell r="E109" t="str">
            <v>A212401</v>
          </cell>
          <cell r="F109">
            <v>541</v>
          </cell>
          <cell r="G109" t="str">
            <v>3221</v>
          </cell>
          <cell r="H109" t="str">
            <v>R0205876</v>
          </cell>
          <cell r="I109"/>
          <cell r="J109" t="str">
            <v>Uredski materijal i ostali materijalni rashodi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/>
          <cell r="R109">
            <v>0</v>
          </cell>
          <cell r="S109" t="str">
            <v>A212401541</v>
          </cell>
          <cell r="T109" t="str">
            <v>3221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</row>
        <row r="110">
          <cell r="A110" t="str">
            <v>A2124015413222</v>
          </cell>
          <cell r="B110" t="str">
            <v>3</v>
          </cell>
          <cell r="C110" t="str">
            <v>32</v>
          </cell>
          <cell r="D110" t="str">
            <v>322</v>
          </cell>
          <cell r="E110" t="str">
            <v>A212401</v>
          </cell>
          <cell r="F110">
            <v>541</v>
          </cell>
          <cell r="G110" t="str">
            <v>3222</v>
          </cell>
          <cell r="H110" t="str">
            <v>R9004150</v>
          </cell>
          <cell r="I110"/>
          <cell r="J110" t="str">
            <v>Materijal i sirovine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/>
          <cell r="R110">
            <v>0</v>
          </cell>
          <cell r="S110" t="str">
            <v>A212401541</v>
          </cell>
          <cell r="T110" t="str">
            <v>3222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</row>
        <row r="111">
          <cell r="A111" t="str">
            <v>A2124015413225</v>
          </cell>
          <cell r="B111" t="str">
            <v>3</v>
          </cell>
          <cell r="C111" t="str">
            <v>32</v>
          </cell>
          <cell r="D111" t="str">
            <v>322</v>
          </cell>
          <cell r="E111" t="str">
            <v>A212401</v>
          </cell>
          <cell r="F111">
            <v>541</v>
          </cell>
          <cell r="G111" t="str">
            <v>3225</v>
          </cell>
          <cell r="H111" t="str">
            <v>R9004151</v>
          </cell>
          <cell r="I111"/>
          <cell r="J111" t="str">
            <v>Sitni inventar i autogume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/>
          <cell r="R111">
            <v>0</v>
          </cell>
          <cell r="S111" t="str">
            <v>A212401541</v>
          </cell>
          <cell r="T111" t="str">
            <v>3225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</row>
        <row r="112">
          <cell r="A112" t="str">
            <v>A2124015413235</v>
          </cell>
          <cell r="B112" t="str">
            <v>3</v>
          </cell>
          <cell r="C112" t="str">
            <v>32</v>
          </cell>
          <cell r="D112" t="str">
            <v>323</v>
          </cell>
          <cell r="E112" t="str">
            <v>A212401</v>
          </cell>
          <cell r="F112">
            <v>541</v>
          </cell>
          <cell r="G112" t="str">
            <v>3235</v>
          </cell>
          <cell r="H112" t="str">
            <v>R9004152</v>
          </cell>
          <cell r="I112"/>
          <cell r="J112" t="str">
            <v>Zakupnine i najamnine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/>
          <cell r="R112">
            <v>0</v>
          </cell>
          <cell r="S112" t="str">
            <v>A212401541</v>
          </cell>
          <cell r="T112" t="str">
            <v>3235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</row>
        <row r="113">
          <cell r="A113" t="str">
            <v>A2124015413293</v>
          </cell>
          <cell r="B113" t="str">
            <v>3</v>
          </cell>
          <cell r="C113" t="str">
            <v>32</v>
          </cell>
          <cell r="D113" t="str">
            <v>329</v>
          </cell>
          <cell r="E113" t="str">
            <v>A212401</v>
          </cell>
          <cell r="F113">
            <v>541</v>
          </cell>
          <cell r="G113" t="str">
            <v>3293</v>
          </cell>
          <cell r="H113" t="str">
            <v>R9004153</v>
          </cell>
          <cell r="I113"/>
          <cell r="J113" t="str">
            <v>Reprezentacija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/>
          <cell r="R113">
            <v>0</v>
          </cell>
          <cell r="S113" t="str">
            <v>A212401541</v>
          </cell>
          <cell r="T113" t="str">
            <v>3293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</row>
        <row r="114">
          <cell r="G114" t="str">
            <v>Aktivnost A212402 PROGRAMSKA DJELATNOST JAVNIH USTANOVA</v>
          </cell>
          <cell r="H114"/>
          <cell r="I114"/>
          <cell r="J114"/>
          <cell r="K114" t="str">
            <v>( 0103 )</v>
          </cell>
          <cell r="L114">
            <v>506700</v>
          </cell>
          <cell r="M114">
            <v>572100</v>
          </cell>
          <cell r="N114">
            <v>506700</v>
          </cell>
          <cell r="O114">
            <v>187569.28</v>
          </cell>
          <cell r="P114">
            <v>187569.28</v>
          </cell>
          <cell r="Q114">
            <v>0</v>
          </cell>
          <cell r="R114">
            <v>426800</v>
          </cell>
          <cell r="S114"/>
          <cell r="T114"/>
          <cell r="U114">
            <v>122906.51</v>
          </cell>
          <cell r="V114">
            <v>0</v>
          </cell>
          <cell r="W114">
            <v>0</v>
          </cell>
          <cell r="X114">
            <v>122126.18</v>
          </cell>
          <cell r="Y114">
            <v>780.33</v>
          </cell>
          <cell r="Z114">
            <v>19</v>
          </cell>
        </row>
        <row r="115">
          <cell r="G115" t="str">
            <v>Izvor  1.1.2 OPĆI PRIHODI I PRIMICI - PK U SUSTAVU RIZNICE</v>
          </cell>
          <cell r="H115"/>
          <cell r="I115"/>
          <cell r="J115"/>
          <cell r="K115" t="str">
            <v>( 12 )</v>
          </cell>
          <cell r="L115">
            <v>280000</v>
          </cell>
          <cell r="M115">
            <v>280000</v>
          </cell>
          <cell r="N115">
            <v>280000</v>
          </cell>
          <cell r="O115">
            <v>122126.18</v>
          </cell>
          <cell r="P115">
            <v>122126.18</v>
          </cell>
          <cell r="Q115">
            <v>0</v>
          </cell>
          <cell r="R115">
            <v>280000</v>
          </cell>
          <cell r="S115"/>
          <cell r="T115"/>
          <cell r="U115">
            <v>122906.51</v>
          </cell>
          <cell r="V115">
            <v>0</v>
          </cell>
          <cell r="W115">
            <v>0</v>
          </cell>
          <cell r="X115">
            <v>122126.18</v>
          </cell>
          <cell r="Y115">
            <v>780.33</v>
          </cell>
          <cell r="Z115">
            <v>19</v>
          </cell>
        </row>
        <row r="116">
          <cell r="A116" t="str">
            <v>A2124021123211</v>
          </cell>
          <cell r="B116" t="str">
            <v>3</v>
          </cell>
          <cell r="C116" t="str">
            <v>32</v>
          </cell>
          <cell r="D116" t="str">
            <v>321</v>
          </cell>
          <cell r="E116" t="str">
            <v>A212402</v>
          </cell>
          <cell r="F116">
            <v>112</v>
          </cell>
          <cell r="G116">
            <v>3211</v>
          </cell>
          <cell r="H116" t="str">
            <v>R9208080</v>
          </cell>
          <cell r="I116">
            <v>0</v>
          </cell>
          <cell r="J116" t="str">
            <v>Službena putovanja</v>
          </cell>
          <cell r="L116">
            <v>0</v>
          </cell>
          <cell r="M116">
            <v>8000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 t="str">
            <v>A212402112</v>
          </cell>
          <cell r="T116">
            <v>3211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</row>
        <row r="117">
          <cell r="A117" t="str">
            <v>A2124021123214</v>
          </cell>
          <cell r="B117" t="str">
            <v>3</v>
          </cell>
          <cell r="C117" t="str">
            <v>32</v>
          </cell>
          <cell r="D117" t="str">
            <v>321</v>
          </cell>
          <cell r="E117" t="str">
            <v>A212402</v>
          </cell>
          <cell r="F117">
            <v>112</v>
          </cell>
          <cell r="G117" t="str">
            <v>3214</v>
          </cell>
          <cell r="H117" t="str">
            <v>R9010849</v>
          </cell>
          <cell r="I117">
            <v>0</v>
          </cell>
          <cell r="J117" t="str">
            <v>Ostale naknade troškova zaposlenima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 t="str">
            <v>A212402112</v>
          </cell>
          <cell r="T117" t="str">
            <v>3214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</row>
        <row r="118">
          <cell r="A118" t="str">
            <v>A2124021123221</v>
          </cell>
          <cell r="B118" t="str">
            <v>3</v>
          </cell>
          <cell r="C118" t="str">
            <v>32</v>
          </cell>
          <cell r="D118" t="str">
            <v>322</v>
          </cell>
          <cell r="E118" t="str">
            <v>A212402</v>
          </cell>
          <cell r="F118">
            <v>112</v>
          </cell>
          <cell r="G118" t="str">
            <v>3221</v>
          </cell>
          <cell r="H118" t="str">
            <v>R0205796</v>
          </cell>
          <cell r="I118" t="str">
            <v>PR00023</v>
          </cell>
          <cell r="J118" t="str">
            <v>Uredski materijal i ostali materijalni rashodi</v>
          </cell>
          <cell r="L118">
            <v>85000</v>
          </cell>
          <cell r="M118">
            <v>80000</v>
          </cell>
          <cell r="N118">
            <v>85000</v>
          </cell>
          <cell r="O118">
            <v>57718.130000000005</v>
          </cell>
          <cell r="P118">
            <v>57718.13</v>
          </cell>
          <cell r="Q118">
            <v>0</v>
          </cell>
          <cell r="R118">
            <v>85000</v>
          </cell>
          <cell r="S118" t="str">
            <v>A212402112</v>
          </cell>
          <cell r="T118" t="str">
            <v>3221</v>
          </cell>
          <cell r="U118">
            <v>57718.130000000005</v>
          </cell>
          <cell r="V118">
            <v>0</v>
          </cell>
          <cell r="W118">
            <v>0</v>
          </cell>
          <cell r="X118">
            <v>57718.130000000005</v>
          </cell>
          <cell r="Y118">
            <v>0</v>
          </cell>
          <cell r="Z118">
            <v>4</v>
          </cell>
        </row>
        <row r="119">
          <cell r="A119" t="str">
            <v>A2124021123222</v>
          </cell>
          <cell r="B119" t="str">
            <v>3</v>
          </cell>
          <cell r="C119" t="str">
            <v>32</v>
          </cell>
          <cell r="D119" t="str">
            <v>322</v>
          </cell>
          <cell r="E119" t="str">
            <v>A212402</v>
          </cell>
          <cell r="F119">
            <v>112</v>
          </cell>
          <cell r="G119" t="str">
            <v>3222</v>
          </cell>
          <cell r="H119" t="str">
            <v>R0195841</v>
          </cell>
          <cell r="I119" t="str">
            <v>PR00024</v>
          </cell>
          <cell r="J119" t="str">
            <v>Materijal i sirovine</v>
          </cell>
          <cell r="L119">
            <v>23000</v>
          </cell>
          <cell r="M119">
            <v>20000</v>
          </cell>
          <cell r="N119">
            <v>23000</v>
          </cell>
          <cell r="O119">
            <v>2843.6</v>
          </cell>
          <cell r="P119">
            <v>2843.6</v>
          </cell>
          <cell r="Q119">
            <v>0</v>
          </cell>
          <cell r="R119">
            <v>23000</v>
          </cell>
          <cell r="S119" t="str">
            <v>A212402112</v>
          </cell>
          <cell r="T119" t="str">
            <v>3222</v>
          </cell>
          <cell r="U119">
            <v>2843.6</v>
          </cell>
          <cell r="V119">
            <v>0</v>
          </cell>
          <cell r="W119">
            <v>0</v>
          </cell>
          <cell r="X119">
            <v>2843.6</v>
          </cell>
          <cell r="Y119">
            <v>0</v>
          </cell>
          <cell r="Z119">
            <v>4</v>
          </cell>
        </row>
        <row r="120">
          <cell r="A120" t="str">
            <v>A2124021123231</v>
          </cell>
          <cell r="B120" t="str">
            <v>3</v>
          </cell>
          <cell r="C120" t="str">
            <v>32</v>
          </cell>
          <cell r="D120" t="str">
            <v>323</v>
          </cell>
          <cell r="E120" t="str">
            <v>A212402</v>
          </cell>
          <cell r="F120">
            <v>112</v>
          </cell>
          <cell r="G120" t="str">
            <v>3231</v>
          </cell>
          <cell r="H120" t="str">
            <v>R0195842</v>
          </cell>
          <cell r="I120">
            <v>0</v>
          </cell>
          <cell r="J120" t="str">
            <v>Usluge telefona, interneta, pošte i prijevoza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 t="str">
            <v>A212402112</v>
          </cell>
          <cell r="T120" t="str">
            <v>3231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</row>
        <row r="121">
          <cell r="A121" t="str">
            <v>A2124021123232</v>
          </cell>
          <cell r="B121" t="str">
            <v>3</v>
          </cell>
          <cell r="C121" t="str">
            <v>32</v>
          </cell>
          <cell r="D121" t="str">
            <v>323</v>
          </cell>
          <cell r="E121" t="str">
            <v>A212402</v>
          </cell>
          <cell r="F121">
            <v>112</v>
          </cell>
          <cell r="G121" t="str">
            <v>3232</v>
          </cell>
          <cell r="H121" t="str">
            <v>R0195843</v>
          </cell>
          <cell r="I121">
            <v>0</v>
          </cell>
          <cell r="J121" t="str">
            <v>Usluge tekućeg i investicijskog  održavanja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 t="str">
            <v>A212402112</v>
          </cell>
          <cell r="T121" t="str">
            <v>3232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</row>
        <row r="122">
          <cell r="A122" t="str">
            <v>A2124021123233</v>
          </cell>
          <cell r="B122" t="str">
            <v>3</v>
          </cell>
          <cell r="C122" t="str">
            <v>32</v>
          </cell>
          <cell r="D122" t="str">
            <v>323</v>
          </cell>
          <cell r="E122" t="str">
            <v>A212402</v>
          </cell>
          <cell r="F122">
            <v>112</v>
          </cell>
          <cell r="G122" t="str">
            <v>3233</v>
          </cell>
          <cell r="H122" t="str">
            <v>R0195844</v>
          </cell>
          <cell r="I122" t="str">
            <v>PR00025</v>
          </cell>
          <cell r="J122" t="str">
            <v>Usluge promidžbe i informiranja</v>
          </cell>
          <cell r="L122">
            <v>10000</v>
          </cell>
          <cell r="M122">
            <v>1000</v>
          </cell>
          <cell r="N122">
            <v>10000</v>
          </cell>
          <cell r="O122">
            <v>229.96</v>
          </cell>
          <cell r="P122">
            <v>229.96</v>
          </cell>
          <cell r="Q122">
            <v>0</v>
          </cell>
          <cell r="R122">
            <v>10000</v>
          </cell>
          <cell r="S122" t="str">
            <v>A212402112</v>
          </cell>
          <cell r="T122" t="str">
            <v>3233</v>
          </cell>
          <cell r="U122">
            <v>229.96</v>
          </cell>
          <cell r="V122">
            <v>0</v>
          </cell>
          <cell r="W122">
            <v>0</v>
          </cell>
          <cell r="X122">
            <v>229.96</v>
          </cell>
          <cell r="Y122">
            <v>0</v>
          </cell>
          <cell r="Z122">
            <v>1</v>
          </cell>
        </row>
        <row r="123">
          <cell r="A123" t="str">
            <v>A2124021123235</v>
          </cell>
          <cell r="B123" t="str">
            <v>3</v>
          </cell>
          <cell r="C123" t="str">
            <v>32</v>
          </cell>
          <cell r="D123" t="str">
            <v>323</v>
          </cell>
          <cell r="E123" t="str">
            <v>A212402</v>
          </cell>
          <cell r="F123">
            <v>112</v>
          </cell>
          <cell r="G123" t="str">
            <v>3235</v>
          </cell>
          <cell r="H123" t="str">
            <v>R0195845</v>
          </cell>
          <cell r="I123">
            <v>0</v>
          </cell>
          <cell r="J123" t="str">
            <v>Zakupnine i najamnine</v>
          </cell>
          <cell r="L123">
            <v>0</v>
          </cell>
          <cell r="M123">
            <v>1000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 t="str">
            <v>A212402112</v>
          </cell>
          <cell r="T123" t="str">
            <v>3235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</row>
        <row r="124">
          <cell r="A124" t="str">
            <v>A2124021123237</v>
          </cell>
          <cell r="B124" t="str">
            <v>3</v>
          </cell>
          <cell r="C124" t="str">
            <v>32</v>
          </cell>
          <cell r="D124" t="str">
            <v>323</v>
          </cell>
          <cell r="E124" t="str">
            <v>A212402</v>
          </cell>
          <cell r="F124">
            <v>112</v>
          </cell>
          <cell r="G124" t="str">
            <v>3237</v>
          </cell>
          <cell r="H124" t="str">
            <v>R0195846</v>
          </cell>
          <cell r="I124" t="str">
            <v>PR00026</v>
          </cell>
          <cell r="J124" t="str">
            <v>Intelektualne i osobne usluge</v>
          </cell>
          <cell r="L124">
            <v>100000</v>
          </cell>
          <cell r="M124">
            <v>111000</v>
          </cell>
          <cell r="N124">
            <v>100000</v>
          </cell>
          <cell r="O124">
            <v>54807.09</v>
          </cell>
          <cell r="P124">
            <v>54807.09</v>
          </cell>
          <cell r="Q124">
            <v>0</v>
          </cell>
          <cell r="R124">
            <v>100000</v>
          </cell>
          <cell r="S124" t="str">
            <v>A212402112</v>
          </cell>
          <cell r="T124" t="str">
            <v>3237</v>
          </cell>
          <cell r="U124">
            <v>54807.09</v>
          </cell>
          <cell r="V124">
            <v>0</v>
          </cell>
          <cell r="W124">
            <v>0</v>
          </cell>
          <cell r="X124">
            <v>54807.09</v>
          </cell>
          <cell r="Y124">
            <v>0</v>
          </cell>
          <cell r="Z124">
            <v>4</v>
          </cell>
        </row>
        <row r="125">
          <cell r="A125" t="str">
            <v>A2124021123238</v>
          </cell>
          <cell r="B125" t="str">
            <v>3</v>
          </cell>
          <cell r="C125" t="str">
            <v>32</v>
          </cell>
          <cell r="D125" t="str">
            <v>323</v>
          </cell>
          <cell r="E125" t="str">
            <v>A212402</v>
          </cell>
          <cell r="F125">
            <v>112</v>
          </cell>
          <cell r="G125" t="str">
            <v>3238</v>
          </cell>
          <cell r="H125" t="str">
            <v>R0195847</v>
          </cell>
          <cell r="I125" t="str">
            <v>PR00356</v>
          </cell>
          <cell r="J125" t="str">
            <v>Računalne usluge</v>
          </cell>
          <cell r="L125">
            <v>23000</v>
          </cell>
          <cell r="M125">
            <v>15000</v>
          </cell>
          <cell r="N125">
            <v>23000</v>
          </cell>
          <cell r="O125">
            <v>1562.5</v>
          </cell>
          <cell r="P125">
            <v>1562.5</v>
          </cell>
          <cell r="Q125">
            <v>0</v>
          </cell>
          <cell r="R125">
            <v>23000</v>
          </cell>
          <cell r="S125" t="str">
            <v>A212402112</v>
          </cell>
          <cell r="T125" t="str">
            <v>3238</v>
          </cell>
          <cell r="U125">
            <v>1562.5</v>
          </cell>
          <cell r="V125">
            <v>0</v>
          </cell>
          <cell r="W125">
            <v>0</v>
          </cell>
          <cell r="X125">
            <v>1562.5</v>
          </cell>
          <cell r="Y125">
            <v>0</v>
          </cell>
          <cell r="Z125">
            <v>1</v>
          </cell>
        </row>
        <row r="126">
          <cell r="A126" t="str">
            <v>A2124021123239</v>
          </cell>
          <cell r="B126" t="str">
            <v>3</v>
          </cell>
          <cell r="C126" t="str">
            <v>32</v>
          </cell>
          <cell r="D126" t="str">
            <v>323</v>
          </cell>
          <cell r="E126" t="str">
            <v>A212402</v>
          </cell>
          <cell r="F126">
            <v>112</v>
          </cell>
          <cell r="G126" t="str">
            <v>3239</v>
          </cell>
          <cell r="H126" t="str">
            <v>R0195848</v>
          </cell>
          <cell r="I126" t="str">
            <v>PR00028</v>
          </cell>
          <cell r="J126" t="str">
            <v>Ostale usluge</v>
          </cell>
          <cell r="L126">
            <v>29000</v>
          </cell>
          <cell r="M126">
            <v>44000</v>
          </cell>
          <cell r="N126">
            <v>29000</v>
          </cell>
          <cell r="O126">
            <v>4964.9000000000005</v>
          </cell>
          <cell r="P126">
            <v>4964.8999999999996</v>
          </cell>
          <cell r="Q126">
            <v>0</v>
          </cell>
          <cell r="R126">
            <v>29000</v>
          </cell>
          <cell r="S126" t="str">
            <v>A212402112</v>
          </cell>
          <cell r="T126" t="str">
            <v>3239</v>
          </cell>
          <cell r="U126">
            <v>5745.2300000000005</v>
          </cell>
          <cell r="V126">
            <v>0</v>
          </cell>
          <cell r="W126">
            <v>0</v>
          </cell>
          <cell r="X126">
            <v>4964.9000000000005</v>
          </cell>
          <cell r="Y126">
            <v>780.33</v>
          </cell>
          <cell r="Z126">
            <v>5</v>
          </cell>
        </row>
        <row r="127">
          <cell r="A127" t="str">
            <v>A2124021123293</v>
          </cell>
          <cell r="B127" t="str">
            <v>3</v>
          </cell>
          <cell r="C127" t="str">
            <v>32</v>
          </cell>
          <cell r="D127" t="str">
            <v>329</v>
          </cell>
          <cell r="E127" t="str">
            <v>A212402</v>
          </cell>
          <cell r="F127">
            <v>112</v>
          </cell>
          <cell r="G127" t="str">
            <v>3293</v>
          </cell>
          <cell r="H127" t="str">
            <v>R9010851</v>
          </cell>
          <cell r="I127">
            <v>0</v>
          </cell>
          <cell r="J127" t="str">
            <v>Reprezentacija</v>
          </cell>
          <cell r="L127">
            <v>10000</v>
          </cell>
          <cell r="M127">
            <v>0</v>
          </cell>
          <cell r="N127">
            <v>10000</v>
          </cell>
          <cell r="O127">
            <v>0</v>
          </cell>
          <cell r="P127">
            <v>0</v>
          </cell>
          <cell r="Q127">
            <v>0</v>
          </cell>
          <cell r="R127">
            <v>10000</v>
          </cell>
          <cell r="S127" t="str">
            <v>A212402112</v>
          </cell>
          <cell r="T127" t="str">
            <v>3293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28">
          <cell r="G128" t="str">
            <v>Izvor  4.3.1 PRIHODI ZA POSEBNE NAMJENE-PRORAČUNSKI KORISNICI</v>
          </cell>
          <cell r="H128"/>
          <cell r="I128"/>
          <cell r="J128"/>
          <cell r="K128" t="str">
            <v>( 31 )</v>
          </cell>
          <cell r="L128">
            <v>92800</v>
          </cell>
          <cell r="M128">
            <v>92800</v>
          </cell>
          <cell r="N128">
            <v>92800</v>
          </cell>
          <cell r="O128">
            <v>20226.89</v>
          </cell>
          <cell r="P128">
            <v>20226.89</v>
          </cell>
          <cell r="Q128">
            <v>0</v>
          </cell>
          <cell r="R128">
            <v>92800</v>
          </cell>
          <cell r="S128"/>
          <cell r="T128"/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</row>
        <row r="129">
          <cell r="A129" t="str">
            <v>A2124024313211</v>
          </cell>
          <cell r="B129" t="str">
            <v>3</v>
          </cell>
          <cell r="C129" t="str">
            <v>32</v>
          </cell>
          <cell r="D129" t="str">
            <v>321</v>
          </cell>
          <cell r="E129" t="str">
            <v>A212402</v>
          </cell>
          <cell r="F129">
            <v>431</v>
          </cell>
          <cell r="G129" t="str">
            <v>3211</v>
          </cell>
          <cell r="H129" t="str">
            <v>R0205804</v>
          </cell>
          <cell r="I129" t="str">
            <v>PR00115</v>
          </cell>
          <cell r="J129" t="str">
            <v>Službena putovanja</v>
          </cell>
          <cell r="L129">
            <v>15000</v>
          </cell>
          <cell r="M129">
            <v>15000</v>
          </cell>
          <cell r="N129">
            <v>15000</v>
          </cell>
          <cell r="O129">
            <v>10818.1</v>
          </cell>
          <cell r="P129">
            <v>10818.1</v>
          </cell>
          <cell r="Q129"/>
          <cell r="R129">
            <v>15000</v>
          </cell>
          <cell r="S129" t="str">
            <v>A212402431</v>
          </cell>
          <cell r="T129" t="str">
            <v>3211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</row>
        <row r="130">
          <cell r="A130" t="str">
            <v>A2124024313213</v>
          </cell>
          <cell r="B130" t="str">
            <v>3</v>
          </cell>
          <cell r="C130" t="str">
            <v>32</v>
          </cell>
          <cell r="D130" t="str">
            <v>321</v>
          </cell>
          <cell r="E130" t="str">
            <v>A212402</v>
          </cell>
          <cell r="F130">
            <v>431</v>
          </cell>
          <cell r="G130" t="str">
            <v>3213</v>
          </cell>
          <cell r="H130" t="str">
            <v>R0205805</v>
          </cell>
          <cell r="I130" t="str">
            <v>PR00116</v>
          </cell>
          <cell r="J130" t="str">
            <v>Stručno usavršavanje zaposlenika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/>
          <cell r="R130">
            <v>0</v>
          </cell>
          <cell r="S130" t="str">
            <v>A212402431</v>
          </cell>
          <cell r="T130" t="str">
            <v>3213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</row>
        <row r="131">
          <cell r="A131" t="str">
            <v>A2124024313221</v>
          </cell>
          <cell r="B131" t="str">
            <v>3</v>
          </cell>
          <cell r="C131" t="str">
            <v>32</v>
          </cell>
          <cell r="D131" t="str">
            <v>322</v>
          </cell>
          <cell r="E131" t="str">
            <v>A212402</v>
          </cell>
          <cell r="F131">
            <v>431</v>
          </cell>
          <cell r="G131" t="str">
            <v>3221</v>
          </cell>
          <cell r="H131" t="str">
            <v>R0205806</v>
          </cell>
          <cell r="I131" t="str">
            <v>PR00117</v>
          </cell>
          <cell r="J131" t="str">
            <v>Uredski materijal i ostali materijalni rashodi</v>
          </cell>
          <cell r="L131">
            <v>25000</v>
          </cell>
          <cell r="M131">
            <v>25000</v>
          </cell>
          <cell r="N131">
            <v>25000</v>
          </cell>
          <cell r="O131">
            <v>2011.2</v>
          </cell>
          <cell r="P131">
            <v>2011.2</v>
          </cell>
          <cell r="Q131"/>
          <cell r="R131">
            <v>25000</v>
          </cell>
          <cell r="S131" t="str">
            <v>A212402431</v>
          </cell>
          <cell r="T131" t="str">
            <v>3221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</row>
        <row r="132">
          <cell r="A132" t="str">
            <v>A2124024313222</v>
          </cell>
          <cell r="B132" t="str">
            <v>3</v>
          </cell>
          <cell r="C132" t="str">
            <v>32</v>
          </cell>
          <cell r="D132" t="str">
            <v>322</v>
          </cell>
          <cell r="E132" t="str">
            <v>A212402</v>
          </cell>
          <cell r="F132">
            <v>431</v>
          </cell>
          <cell r="G132" t="str">
            <v>3222</v>
          </cell>
          <cell r="H132" t="str">
            <v>R0205807</v>
          </cell>
          <cell r="I132" t="str">
            <v>PR00118</v>
          </cell>
          <cell r="J132" t="str">
            <v>Materijal i sirovine</v>
          </cell>
          <cell r="L132">
            <v>0</v>
          </cell>
          <cell r="M132">
            <v>0</v>
          </cell>
          <cell r="N132">
            <v>0</v>
          </cell>
          <cell r="O132">
            <v>386.52</v>
          </cell>
          <cell r="P132">
            <v>386.52</v>
          </cell>
          <cell r="Q132"/>
          <cell r="R132">
            <v>0</v>
          </cell>
          <cell r="S132" t="str">
            <v>A212402431</v>
          </cell>
          <cell r="T132" t="str">
            <v>3222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</row>
        <row r="133">
          <cell r="A133" t="str">
            <v>A2124024313225</v>
          </cell>
          <cell r="B133" t="str">
            <v>3</v>
          </cell>
          <cell r="C133" t="str">
            <v>32</v>
          </cell>
          <cell r="D133" t="str">
            <v>322</v>
          </cell>
          <cell r="E133" t="str">
            <v>A212402</v>
          </cell>
          <cell r="F133">
            <v>431</v>
          </cell>
          <cell r="G133" t="str">
            <v>3225</v>
          </cell>
          <cell r="H133" t="str">
            <v>R9014938</v>
          </cell>
          <cell r="I133" t="str">
            <v>PR00120</v>
          </cell>
          <cell r="J133" t="str">
            <v>Sitni inventar i autogume</v>
          </cell>
          <cell r="L133">
            <v>500</v>
          </cell>
          <cell r="M133">
            <v>500</v>
          </cell>
          <cell r="N133">
            <v>500</v>
          </cell>
          <cell r="O133">
            <v>0</v>
          </cell>
          <cell r="P133">
            <v>0</v>
          </cell>
          <cell r="Q133"/>
          <cell r="R133">
            <v>500</v>
          </cell>
          <cell r="S133" t="str">
            <v>A212402431</v>
          </cell>
          <cell r="T133" t="str">
            <v>3225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</row>
        <row r="134">
          <cell r="A134" t="str">
            <v>A2124024313231</v>
          </cell>
          <cell r="B134" t="str">
            <v>3</v>
          </cell>
          <cell r="C134" t="str">
            <v>32</v>
          </cell>
          <cell r="D134" t="str">
            <v>323</v>
          </cell>
          <cell r="E134" t="str">
            <v>A212402</v>
          </cell>
          <cell r="F134">
            <v>431</v>
          </cell>
          <cell r="G134" t="str">
            <v>3231</v>
          </cell>
          <cell r="H134" t="str">
            <v>R0205809</v>
          </cell>
          <cell r="I134" t="str">
            <v>PR00121</v>
          </cell>
          <cell r="J134" t="str">
            <v>Usluge telefona, interneta, pošte i prijevoza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/>
          <cell r="R134">
            <v>0</v>
          </cell>
          <cell r="S134" t="str">
            <v>A212402431</v>
          </cell>
          <cell r="T134" t="str">
            <v>3231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</row>
        <row r="135">
          <cell r="A135" t="str">
            <v>A2124024313233</v>
          </cell>
          <cell r="B135" t="str">
            <v>3</v>
          </cell>
          <cell r="C135" t="str">
            <v>32</v>
          </cell>
          <cell r="D135" t="str">
            <v>323</v>
          </cell>
          <cell r="E135" t="str">
            <v>A212402</v>
          </cell>
          <cell r="F135">
            <v>431</v>
          </cell>
          <cell r="G135" t="str">
            <v>3233</v>
          </cell>
          <cell r="H135" t="str">
            <v>R0205810</v>
          </cell>
          <cell r="I135" t="str">
            <v>PR00224</v>
          </cell>
          <cell r="J135" t="str">
            <v>Usluge promidžbe i informiranja</v>
          </cell>
          <cell r="L135">
            <v>4300</v>
          </cell>
          <cell r="M135">
            <v>4300</v>
          </cell>
          <cell r="N135">
            <v>4300</v>
          </cell>
          <cell r="O135">
            <v>250</v>
          </cell>
          <cell r="P135">
            <v>250</v>
          </cell>
          <cell r="Q135"/>
          <cell r="R135">
            <v>4300</v>
          </cell>
          <cell r="S135" t="str">
            <v>A212402431</v>
          </cell>
          <cell r="T135" t="str">
            <v>3233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</row>
        <row r="136">
          <cell r="A136" t="str">
            <v>A2124024313235</v>
          </cell>
          <cell r="B136" t="str">
            <v>3</v>
          </cell>
          <cell r="C136" t="str">
            <v>32</v>
          </cell>
          <cell r="D136" t="str">
            <v>323</v>
          </cell>
          <cell r="E136" t="str">
            <v>A212402</v>
          </cell>
          <cell r="F136">
            <v>431</v>
          </cell>
          <cell r="G136" t="str">
            <v>3235</v>
          </cell>
          <cell r="H136" t="str">
            <v>R0205812</v>
          </cell>
          <cell r="I136">
            <v>0</v>
          </cell>
          <cell r="J136" t="str">
            <v>Zakupnine i najamnine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/>
          <cell r="R136">
            <v>0</v>
          </cell>
          <cell r="S136" t="str">
            <v>A212402431</v>
          </cell>
          <cell r="T136" t="str">
            <v>3235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A2124024313237</v>
          </cell>
          <cell r="B137" t="str">
            <v>3</v>
          </cell>
          <cell r="C137" t="str">
            <v>32</v>
          </cell>
          <cell r="D137" t="str">
            <v>323</v>
          </cell>
          <cell r="E137" t="str">
            <v>A212402</v>
          </cell>
          <cell r="F137">
            <v>431</v>
          </cell>
          <cell r="G137" t="str">
            <v>3237</v>
          </cell>
          <cell r="H137" t="str">
            <v>R0205814</v>
          </cell>
          <cell r="I137" t="str">
            <v>PR00122</v>
          </cell>
          <cell r="J137" t="str">
            <v>Intelektualne i osobne usluge</v>
          </cell>
          <cell r="L137">
            <v>32500</v>
          </cell>
          <cell r="M137">
            <v>32500</v>
          </cell>
          <cell r="N137">
            <v>32500</v>
          </cell>
          <cell r="O137">
            <v>5380</v>
          </cell>
          <cell r="P137">
            <v>5380</v>
          </cell>
          <cell r="Q137"/>
          <cell r="R137">
            <v>32500</v>
          </cell>
          <cell r="S137" t="str">
            <v>A212402431</v>
          </cell>
          <cell r="T137" t="str">
            <v>3237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</row>
        <row r="138">
          <cell r="A138" t="str">
            <v>A2124024313238</v>
          </cell>
          <cell r="B138" t="str">
            <v>3</v>
          </cell>
          <cell r="C138" t="str">
            <v>32</v>
          </cell>
          <cell r="D138" t="str">
            <v>323</v>
          </cell>
          <cell r="E138" t="str">
            <v>A212402</v>
          </cell>
          <cell r="F138">
            <v>431</v>
          </cell>
          <cell r="G138" t="str">
            <v>3238</v>
          </cell>
          <cell r="H138" t="str">
            <v>R0205816</v>
          </cell>
          <cell r="I138" t="str">
            <v>PR00225</v>
          </cell>
          <cell r="J138" t="str">
            <v>Računalne usluge</v>
          </cell>
          <cell r="L138">
            <v>1000</v>
          </cell>
          <cell r="M138">
            <v>1000</v>
          </cell>
          <cell r="N138">
            <v>1000</v>
          </cell>
          <cell r="O138">
            <v>0</v>
          </cell>
          <cell r="P138">
            <v>0</v>
          </cell>
          <cell r="Q138"/>
          <cell r="R138">
            <v>1000</v>
          </cell>
          <cell r="S138" t="str">
            <v>A212402431</v>
          </cell>
          <cell r="T138" t="str">
            <v>3238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</row>
        <row r="139">
          <cell r="A139" t="str">
            <v>A2124024313239</v>
          </cell>
          <cell r="B139" t="str">
            <v>3</v>
          </cell>
          <cell r="C139" t="str">
            <v>32</v>
          </cell>
          <cell r="D139" t="str">
            <v>323</v>
          </cell>
          <cell r="E139" t="str">
            <v>A212402</v>
          </cell>
          <cell r="F139">
            <v>431</v>
          </cell>
          <cell r="G139" t="str">
            <v>3239</v>
          </cell>
          <cell r="H139" t="str">
            <v>R0205819</v>
          </cell>
          <cell r="I139" t="str">
            <v>PR00123</v>
          </cell>
          <cell r="J139" t="str">
            <v>Ostale usluge</v>
          </cell>
          <cell r="L139">
            <v>11000</v>
          </cell>
          <cell r="M139">
            <v>11000</v>
          </cell>
          <cell r="N139">
            <v>11000</v>
          </cell>
          <cell r="O139">
            <v>717.28</v>
          </cell>
          <cell r="P139">
            <v>717.28</v>
          </cell>
          <cell r="Q139"/>
          <cell r="R139">
            <v>11000</v>
          </cell>
          <cell r="S139" t="str">
            <v>A212402431</v>
          </cell>
          <cell r="T139" t="str">
            <v>3239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</row>
        <row r="140">
          <cell r="A140" t="str">
            <v>A2124024313293</v>
          </cell>
          <cell r="B140" t="str">
            <v>3</v>
          </cell>
          <cell r="C140" t="str">
            <v>32</v>
          </cell>
          <cell r="D140" t="str">
            <v>329</v>
          </cell>
          <cell r="E140" t="str">
            <v>A212402</v>
          </cell>
          <cell r="F140">
            <v>431</v>
          </cell>
          <cell r="G140" t="str">
            <v>3293</v>
          </cell>
          <cell r="H140" t="str">
            <v>R0205821</v>
          </cell>
          <cell r="I140" t="str">
            <v>PR00125</v>
          </cell>
          <cell r="J140" t="str">
            <v>Reprezentacija</v>
          </cell>
          <cell r="L140">
            <v>3500</v>
          </cell>
          <cell r="M140">
            <v>3500</v>
          </cell>
          <cell r="N140">
            <v>3500</v>
          </cell>
          <cell r="O140">
            <v>663.79</v>
          </cell>
          <cell r="P140">
            <v>663.79</v>
          </cell>
          <cell r="Q140"/>
          <cell r="R140">
            <v>3500</v>
          </cell>
          <cell r="S140" t="str">
            <v>A212402431</v>
          </cell>
          <cell r="T140" t="str">
            <v>3293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</row>
        <row r="141">
          <cell r="G141" t="str">
            <v>Izvor  5.1.0 PROGRAMI UNIJE</v>
          </cell>
          <cell r="H141"/>
          <cell r="I141"/>
          <cell r="J141"/>
          <cell r="K141" t="str">
            <v>( -- )</v>
          </cell>
          <cell r="L141">
            <v>54000</v>
          </cell>
          <cell r="M141">
            <v>58000</v>
          </cell>
          <cell r="N141">
            <v>54000</v>
          </cell>
          <cell r="O141">
            <v>300</v>
          </cell>
          <cell r="P141">
            <v>300</v>
          </cell>
          <cell r="Q141">
            <v>0</v>
          </cell>
          <cell r="R141">
            <v>54000</v>
          </cell>
          <cell r="S141"/>
          <cell r="T141"/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</row>
        <row r="142">
          <cell r="A142" t="str">
            <v>A2124025103211</v>
          </cell>
          <cell r="B142" t="str">
            <v>3</v>
          </cell>
          <cell r="C142" t="str">
            <v>32</v>
          </cell>
          <cell r="D142" t="str">
            <v>321</v>
          </cell>
          <cell r="E142" t="str">
            <v>A212402</v>
          </cell>
          <cell r="F142">
            <v>510</v>
          </cell>
          <cell r="G142" t="str">
            <v>3211</v>
          </cell>
          <cell r="H142" t="str">
            <v>R9028314</v>
          </cell>
          <cell r="I142" t="str">
            <v>PR00329</v>
          </cell>
          <cell r="J142" t="str">
            <v>Službena putovanja</v>
          </cell>
          <cell r="L142">
            <v>35000</v>
          </cell>
          <cell r="M142">
            <v>35000</v>
          </cell>
          <cell r="N142">
            <v>35000</v>
          </cell>
          <cell r="O142">
            <v>0</v>
          </cell>
          <cell r="P142">
            <v>0</v>
          </cell>
          <cell r="Q142"/>
          <cell r="R142">
            <v>35000</v>
          </cell>
          <cell r="S142" t="str">
            <v>A212402510</v>
          </cell>
          <cell r="T142" t="str">
            <v>3211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</row>
        <row r="143">
          <cell r="A143" t="str">
            <v>A2124025103213</v>
          </cell>
          <cell r="B143" t="str">
            <v>3</v>
          </cell>
          <cell r="C143" t="str">
            <v>32</v>
          </cell>
          <cell r="D143" t="str">
            <v>321</v>
          </cell>
          <cell r="E143" t="str">
            <v>A212402</v>
          </cell>
          <cell r="F143">
            <v>510</v>
          </cell>
          <cell r="G143" t="str">
            <v>3213</v>
          </cell>
          <cell r="H143" t="str">
            <v>R9028315</v>
          </cell>
          <cell r="I143" t="str">
            <v>PR00330</v>
          </cell>
          <cell r="J143" t="str">
            <v>Stručno usavršavanje zaposlenika</v>
          </cell>
          <cell r="L143">
            <v>9000</v>
          </cell>
          <cell r="M143">
            <v>6000</v>
          </cell>
          <cell r="N143">
            <v>9000</v>
          </cell>
          <cell r="O143">
            <v>0</v>
          </cell>
          <cell r="P143">
            <v>0</v>
          </cell>
          <cell r="Q143"/>
          <cell r="R143">
            <v>9000</v>
          </cell>
          <cell r="S143" t="str">
            <v>A212402510</v>
          </cell>
          <cell r="T143" t="str">
            <v>3213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</row>
        <row r="144">
          <cell r="A144" t="str">
            <v>A2124025103222</v>
          </cell>
          <cell r="B144" t="str">
            <v>3</v>
          </cell>
          <cell r="C144" t="str">
            <v>32</v>
          </cell>
          <cell r="D144" t="str">
            <v>322</v>
          </cell>
          <cell r="E144" t="str">
            <v>A212402</v>
          </cell>
          <cell r="F144">
            <v>510</v>
          </cell>
          <cell r="G144">
            <v>3222</v>
          </cell>
          <cell r="H144" t="str">
            <v>R9208081</v>
          </cell>
          <cell r="I144" t="str">
            <v>PR00330</v>
          </cell>
          <cell r="J144" t="str">
            <v>Materijal I sirovine</v>
          </cell>
          <cell r="L144">
            <v>0</v>
          </cell>
          <cell r="M144">
            <v>1000</v>
          </cell>
          <cell r="N144">
            <v>0</v>
          </cell>
          <cell r="O144">
            <v>0</v>
          </cell>
          <cell r="P144">
            <v>0</v>
          </cell>
          <cell r="Q144"/>
          <cell r="R144">
            <v>9000</v>
          </cell>
          <cell r="S144" t="str">
            <v>A212402510</v>
          </cell>
          <cell r="T144">
            <v>3222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</row>
        <row r="145">
          <cell r="A145" t="str">
            <v>A2124025103233</v>
          </cell>
          <cell r="B145" t="str">
            <v>3</v>
          </cell>
          <cell r="C145" t="str">
            <v>32</v>
          </cell>
          <cell r="D145" t="str">
            <v>323</v>
          </cell>
          <cell r="E145" t="str">
            <v>A212402</v>
          </cell>
          <cell r="F145">
            <v>510</v>
          </cell>
          <cell r="G145" t="str">
            <v>3233</v>
          </cell>
          <cell r="H145" t="str">
            <v>R9028316</v>
          </cell>
          <cell r="I145" t="str">
            <v>PR00350</v>
          </cell>
          <cell r="J145" t="str">
            <v>Usluge promidžbe i informiranja</v>
          </cell>
          <cell r="L145">
            <v>4500</v>
          </cell>
          <cell r="M145">
            <v>8000</v>
          </cell>
          <cell r="N145">
            <v>4500</v>
          </cell>
          <cell r="O145">
            <v>0</v>
          </cell>
          <cell r="P145">
            <v>0</v>
          </cell>
          <cell r="Q145"/>
          <cell r="R145">
            <v>4500</v>
          </cell>
          <cell r="S145" t="str">
            <v>A212402510</v>
          </cell>
          <cell r="T145" t="str">
            <v>3233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</row>
        <row r="146">
          <cell r="A146" t="str">
            <v>A2124025103237</v>
          </cell>
          <cell r="B146" t="str">
            <v>3</v>
          </cell>
          <cell r="C146" t="str">
            <v>32</v>
          </cell>
          <cell r="D146" t="str">
            <v>323</v>
          </cell>
          <cell r="E146" t="str">
            <v>A212402</v>
          </cell>
          <cell r="F146">
            <v>510</v>
          </cell>
          <cell r="G146" t="str">
            <v>3237</v>
          </cell>
          <cell r="H146" t="str">
            <v>R9028317</v>
          </cell>
          <cell r="I146">
            <v>0</v>
          </cell>
          <cell r="J146" t="str">
            <v>Intelektualne i osobne usluge</v>
          </cell>
          <cell r="L146">
            <v>1500</v>
          </cell>
          <cell r="M146">
            <v>5000</v>
          </cell>
          <cell r="N146">
            <v>1500</v>
          </cell>
          <cell r="O146">
            <v>300</v>
          </cell>
          <cell r="P146">
            <v>300</v>
          </cell>
          <cell r="Q146"/>
          <cell r="R146">
            <v>1500</v>
          </cell>
          <cell r="S146" t="str">
            <v>A212402510</v>
          </cell>
          <cell r="T146" t="str">
            <v>3237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</row>
        <row r="147">
          <cell r="A147" t="str">
            <v>A2124025103293</v>
          </cell>
          <cell r="B147" t="str">
            <v>3</v>
          </cell>
          <cell r="C147" t="str">
            <v>32</v>
          </cell>
          <cell r="D147" t="str">
            <v>329</v>
          </cell>
          <cell r="E147" t="str">
            <v>A212402</v>
          </cell>
          <cell r="F147">
            <v>510</v>
          </cell>
          <cell r="G147" t="str">
            <v>3293</v>
          </cell>
          <cell r="H147" t="str">
            <v>R9028318</v>
          </cell>
          <cell r="I147" t="str">
            <v>PR00340</v>
          </cell>
          <cell r="J147" t="str">
            <v>Reprezentacija</v>
          </cell>
          <cell r="L147">
            <v>4000</v>
          </cell>
          <cell r="M147">
            <v>3000</v>
          </cell>
          <cell r="N147">
            <v>4000</v>
          </cell>
          <cell r="O147">
            <v>0</v>
          </cell>
          <cell r="P147">
            <v>0</v>
          </cell>
          <cell r="Q147"/>
          <cell r="R147">
            <v>4000</v>
          </cell>
          <cell r="S147" t="str">
            <v>A212402510</v>
          </cell>
          <cell r="T147" t="str">
            <v>3293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</row>
        <row r="148">
          <cell r="G148" t="str">
            <v>Izvor  5.2.1 POMOĆI IZ DRUGIH PRORAČUNA-PK</v>
          </cell>
          <cell r="H148"/>
          <cell r="I148"/>
          <cell r="J148"/>
          <cell r="K148" t="str">
            <v>( 11, 111, 511, 512 )</v>
          </cell>
          <cell r="L148">
            <v>79900</v>
          </cell>
          <cell r="M148">
            <v>112000</v>
          </cell>
          <cell r="N148">
            <v>79900</v>
          </cell>
          <cell r="O148">
            <v>36651.31</v>
          </cell>
          <cell r="P148">
            <v>36651.31</v>
          </cell>
          <cell r="Q148">
            <v>0</v>
          </cell>
          <cell r="R148"/>
          <cell r="S148"/>
          <cell r="T148"/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</row>
        <row r="149">
          <cell r="A149" t="str">
            <v>A2124025213111</v>
          </cell>
          <cell r="B149" t="str">
            <v>3</v>
          </cell>
          <cell r="C149" t="str">
            <v>31</v>
          </cell>
          <cell r="D149" t="str">
            <v>311</v>
          </cell>
          <cell r="E149" t="str">
            <v>A212402</v>
          </cell>
          <cell r="F149">
            <v>521</v>
          </cell>
          <cell r="G149">
            <v>3111</v>
          </cell>
          <cell r="H149" t="str">
            <v>R9208069</v>
          </cell>
          <cell r="I149" t="str">
            <v>PR00043</v>
          </cell>
          <cell r="J149" t="str">
            <v>Plaće za redovan rad</v>
          </cell>
          <cell r="L149">
            <v>0</v>
          </cell>
          <cell r="M149">
            <v>1500</v>
          </cell>
          <cell r="N149">
            <v>0</v>
          </cell>
          <cell r="O149">
            <v>0</v>
          </cell>
          <cell r="P149">
            <v>0</v>
          </cell>
          <cell r="Q149"/>
          <cell r="R149"/>
          <cell r="S149" t="str">
            <v>A212402521</v>
          </cell>
          <cell r="T149">
            <v>3111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</row>
        <row r="150">
          <cell r="A150" t="str">
            <v>A2124025213211</v>
          </cell>
          <cell r="B150" t="str">
            <v>3</v>
          </cell>
          <cell r="C150" t="str">
            <v>32</v>
          </cell>
          <cell r="D150" t="str">
            <v>321</v>
          </cell>
          <cell r="E150" t="str">
            <v>A212402</v>
          </cell>
          <cell r="F150">
            <v>521</v>
          </cell>
          <cell r="G150" t="str">
            <v>3211</v>
          </cell>
          <cell r="H150" t="str">
            <v>R0206424</v>
          </cell>
          <cell r="I150" t="str">
            <v>PR00043</v>
          </cell>
          <cell r="J150" t="str">
            <v>Službena putovanja</v>
          </cell>
          <cell r="L150">
            <v>3000</v>
          </cell>
          <cell r="M150">
            <v>9700</v>
          </cell>
          <cell r="N150">
            <v>3000</v>
          </cell>
          <cell r="O150">
            <v>6195</v>
          </cell>
          <cell r="P150">
            <v>6195</v>
          </cell>
          <cell r="Q150"/>
          <cell r="R150"/>
          <cell r="S150" t="str">
            <v>A212402521</v>
          </cell>
          <cell r="T150" t="str">
            <v>3211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</row>
        <row r="151">
          <cell r="A151" t="str">
            <v>A2124025213213</v>
          </cell>
          <cell r="B151" t="str">
            <v>3</v>
          </cell>
          <cell r="C151" t="str">
            <v>32</v>
          </cell>
          <cell r="D151" t="str">
            <v>321</v>
          </cell>
          <cell r="E151" t="str">
            <v>A212402</v>
          </cell>
          <cell r="F151">
            <v>521</v>
          </cell>
          <cell r="G151" t="str">
            <v>3213</v>
          </cell>
          <cell r="H151" t="str">
            <v>R0206425</v>
          </cell>
          <cell r="I151" t="str">
            <v>PR00151</v>
          </cell>
          <cell r="J151" t="str">
            <v>Stručno usavršavanje zaposlenika</v>
          </cell>
          <cell r="L151">
            <v>4000</v>
          </cell>
          <cell r="M151">
            <v>5400</v>
          </cell>
          <cell r="N151">
            <v>4000</v>
          </cell>
          <cell r="O151">
            <v>3068.76</v>
          </cell>
          <cell r="P151">
            <v>3068.76</v>
          </cell>
          <cell r="Q151"/>
          <cell r="R151"/>
          <cell r="S151" t="str">
            <v>A212402521</v>
          </cell>
          <cell r="T151" t="str">
            <v>3213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</row>
        <row r="152">
          <cell r="A152" t="str">
            <v>A2124025213221</v>
          </cell>
          <cell r="B152" t="str">
            <v>3</v>
          </cell>
          <cell r="C152" t="str">
            <v>32</v>
          </cell>
          <cell r="D152" t="str">
            <v>322</v>
          </cell>
          <cell r="E152" t="str">
            <v>A212402</v>
          </cell>
          <cell r="F152">
            <v>521</v>
          </cell>
          <cell r="G152" t="str">
            <v>3221</v>
          </cell>
          <cell r="H152" t="str">
            <v>R0206426</v>
          </cell>
          <cell r="I152" t="str">
            <v>PR00044</v>
          </cell>
          <cell r="J152" t="str">
            <v>Uredski materijal i ostali materijalni rashodi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/>
          <cell r="R152"/>
          <cell r="S152" t="str">
            <v>A212402521</v>
          </cell>
          <cell r="T152" t="str">
            <v>3221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</row>
        <row r="153">
          <cell r="A153" t="str">
            <v>A2124025213222</v>
          </cell>
          <cell r="B153" t="str">
            <v>3</v>
          </cell>
          <cell r="C153" t="str">
            <v>32</v>
          </cell>
          <cell r="D153" t="str">
            <v>322</v>
          </cell>
          <cell r="E153" t="str">
            <v>A212402</v>
          </cell>
          <cell r="F153">
            <v>521</v>
          </cell>
          <cell r="G153" t="str">
            <v>3222</v>
          </cell>
          <cell r="H153" t="str">
            <v>R0206427</v>
          </cell>
          <cell r="I153" t="str">
            <v>PR00045</v>
          </cell>
          <cell r="J153" t="str">
            <v>Materijal i sirovine</v>
          </cell>
          <cell r="L153">
            <v>11300</v>
          </cell>
          <cell r="M153">
            <v>7200</v>
          </cell>
          <cell r="N153">
            <v>11300</v>
          </cell>
          <cell r="O153">
            <v>1475.31</v>
          </cell>
          <cell r="P153">
            <v>1475.31</v>
          </cell>
          <cell r="Q153"/>
          <cell r="R153"/>
          <cell r="S153" t="str">
            <v>A212402521</v>
          </cell>
          <cell r="T153" t="str">
            <v>3222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</row>
        <row r="154">
          <cell r="A154" t="str">
            <v>A2124025213223</v>
          </cell>
          <cell r="B154" t="str">
            <v>3</v>
          </cell>
          <cell r="C154" t="str">
            <v>32</v>
          </cell>
          <cell r="D154" t="str">
            <v>322</v>
          </cell>
          <cell r="E154" t="str">
            <v>A212402</v>
          </cell>
          <cell r="F154">
            <v>521</v>
          </cell>
          <cell r="G154" t="str">
            <v>3223</v>
          </cell>
          <cell r="H154" t="str">
            <v>R9004241</v>
          </cell>
          <cell r="I154">
            <v>0</v>
          </cell>
          <cell r="J154" t="str">
            <v>Energija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/>
          <cell r="R154"/>
          <cell r="S154" t="str">
            <v>A212402521</v>
          </cell>
          <cell r="T154" t="str">
            <v>3223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</row>
        <row r="155">
          <cell r="A155" t="str">
            <v>A2124025213224</v>
          </cell>
          <cell r="B155" t="str">
            <v>3</v>
          </cell>
          <cell r="C155" t="str">
            <v>32</v>
          </cell>
          <cell r="D155" t="str">
            <v>322</v>
          </cell>
          <cell r="E155" t="str">
            <v>A212402</v>
          </cell>
          <cell r="F155">
            <v>521</v>
          </cell>
          <cell r="G155" t="str">
            <v>3224</v>
          </cell>
          <cell r="H155" t="str">
            <v>R9002675</v>
          </cell>
          <cell r="I155">
            <v>0</v>
          </cell>
          <cell r="J155" t="str">
            <v>Materijal i dijelovi za tekuće i investicijsko održavanje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/>
          <cell r="R155"/>
          <cell r="S155" t="str">
            <v>A212402521</v>
          </cell>
          <cell r="T155" t="str">
            <v>3224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</row>
        <row r="156">
          <cell r="A156" t="str">
            <v>A2124025213225</v>
          </cell>
          <cell r="B156" t="str">
            <v>3</v>
          </cell>
          <cell r="C156" t="str">
            <v>32</v>
          </cell>
          <cell r="D156" t="str">
            <v>322</v>
          </cell>
          <cell r="E156" t="str">
            <v>A212402</v>
          </cell>
          <cell r="F156">
            <v>521</v>
          </cell>
          <cell r="G156" t="str">
            <v>3225</v>
          </cell>
          <cell r="H156" t="str">
            <v>R0206428</v>
          </cell>
          <cell r="I156">
            <v>0</v>
          </cell>
          <cell r="J156" t="str">
            <v>Sitni inventar i autogume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/>
          <cell r="R156"/>
          <cell r="S156" t="str">
            <v>A212402521</v>
          </cell>
          <cell r="T156" t="str">
            <v>3225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</row>
        <row r="157">
          <cell r="A157" t="str">
            <v>A2124025213231</v>
          </cell>
          <cell r="B157" t="str">
            <v>3</v>
          </cell>
          <cell r="C157" t="str">
            <v>32</v>
          </cell>
          <cell r="D157" t="str">
            <v>323</v>
          </cell>
          <cell r="E157" t="str">
            <v>A212402</v>
          </cell>
          <cell r="F157">
            <v>521</v>
          </cell>
          <cell r="G157" t="str">
            <v>3231</v>
          </cell>
          <cell r="H157" t="str">
            <v>R0206429</v>
          </cell>
          <cell r="I157">
            <v>0</v>
          </cell>
          <cell r="J157" t="str">
            <v>Usluge telefona, interneta, pošte i prijevoza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/>
          <cell r="R157"/>
          <cell r="S157" t="str">
            <v>A212402521</v>
          </cell>
          <cell r="T157" t="str">
            <v>3231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</row>
        <row r="158">
          <cell r="A158" t="str">
            <v>A2124025213233</v>
          </cell>
          <cell r="B158" t="str">
            <v>3</v>
          </cell>
          <cell r="C158" t="str">
            <v>32</v>
          </cell>
          <cell r="D158" t="str">
            <v>323</v>
          </cell>
          <cell r="E158" t="str">
            <v>A212402</v>
          </cell>
          <cell r="F158">
            <v>521</v>
          </cell>
          <cell r="G158" t="str">
            <v>3233</v>
          </cell>
          <cell r="H158" t="str">
            <v>R0206430</v>
          </cell>
          <cell r="I158" t="str">
            <v>PR00190</v>
          </cell>
          <cell r="J158" t="str">
            <v>Usluge promidžbe i informiranja</v>
          </cell>
          <cell r="L158">
            <v>1800</v>
          </cell>
          <cell r="M158">
            <v>3300</v>
          </cell>
          <cell r="N158">
            <v>1800</v>
          </cell>
          <cell r="O158">
            <v>0</v>
          </cell>
          <cell r="P158">
            <v>0</v>
          </cell>
          <cell r="Q158"/>
          <cell r="R158"/>
          <cell r="S158" t="str">
            <v>A212402521</v>
          </cell>
          <cell r="T158" t="str">
            <v>3233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A2124025213235</v>
          </cell>
          <cell r="B159" t="str">
            <v>3</v>
          </cell>
          <cell r="C159" t="str">
            <v>32</v>
          </cell>
          <cell r="D159" t="str">
            <v>323</v>
          </cell>
          <cell r="E159" t="str">
            <v>A212402</v>
          </cell>
          <cell r="F159">
            <v>521</v>
          </cell>
          <cell r="G159" t="str">
            <v>3235</v>
          </cell>
          <cell r="H159" t="str">
            <v>R0206436</v>
          </cell>
          <cell r="I159">
            <v>0</v>
          </cell>
          <cell r="J159" t="str">
            <v>Zakupnine i najamnine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/>
          <cell r="R159"/>
          <cell r="S159" t="str">
            <v>A212402521</v>
          </cell>
          <cell r="T159" t="str">
            <v>3235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</row>
        <row r="160">
          <cell r="A160" t="str">
            <v>A2124025213237</v>
          </cell>
          <cell r="B160" t="str">
            <v>3</v>
          </cell>
          <cell r="C160" t="str">
            <v>32</v>
          </cell>
          <cell r="D160" t="str">
            <v>323</v>
          </cell>
          <cell r="E160" t="str">
            <v>A212402</v>
          </cell>
          <cell r="F160">
            <v>521</v>
          </cell>
          <cell r="G160" t="str">
            <v>3237</v>
          </cell>
          <cell r="H160" t="str">
            <v>R0206437</v>
          </cell>
          <cell r="I160" t="str">
            <v>PR00047</v>
          </cell>
          <cell r="J160" t="str">
            <v>Intelektualne i osobne usluge</v>
          </cell>
          <cell r="L160">
            <v>30000</v>
          </cell>
          <cell r="M160">
            <v>43100</v>
          </cell>
          <cell r="N160">
            <v>30000</v>
          </cell>
          <cell r="O160">
            <v>18999.98</v>
          </cell>
          <cell r="P160">
            <v>18999.98</v>
          </cell>
          <cell r="Q160"/>
          <cell r="R160"/>
          <cell r="S160" t="str">
            <v>A212402521</v>
          </cell>
          <cell r="T160" t="str">
            <v>3237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</row>
        <row r="161">
          <cell r="A161" t="str">
            <v>A2124025213238</v>
          </cell>
          <cell r="B161" t="str">
            <v>3</v>
          </cell>
          <cell r="C161" t="str">
            <v>32</v>
          </cell>
          <cell r="D161" t="str">
            <v>323</v>
          </cell>
          <cell r="E161" t="str">
            <v>A212402</v>
          </cell>
          <cell r="F161">
            <v>521</v>
          </cell>
          <cell r="G161" t="str">
            <v>3238</v>
          </cell>
          <cell r="H161" t="str">
            <v>R0206438</v>
          </cell>
          <cell r="I161" t="str">
            <v>PR00213</v>
          </cell>
          <cell r="J161" t="str">
            <v>Računalne usluge</v>
          </cell>
          <cell r="L161">
            <v>13500</v>
          </cell>
          <cell r="M161">
            <v>19900</v>
          </cell>
          <cell r="N161">
            <v>13500</v>
          </cell>
          <cell r="O161">
            <v>82.5</v>
          </cell>
          <cell r="P161">
            <v>82.5</v>
          </cell>
          <cell r="Q161"/>
          <cell r="R161"/>
          <cell r="S161" t="str">
            <v>A212402521</v>
          </cell>
          <cell r="T161" t="str">
            <v>3238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</row>
        <row r="162">
          <cell r="A162" t="str">
            <v>A2124025213239</v>
          </cell>
          <cell r="B162" t="str">
            <v>3</v>
          </cell>
          <cell r="C162" t="str">
            <v>32</v>
          </cell>
          <cell r="D162" t="str">
            <v>323</v>
          </cell>
          <cell r="E162" t="str">
            <v>A212402</v>
          </cell>
          <cell r="F162">
            <v>521</v>
          </cell>
          <cell r="G162" t="str">
            <v>3239</v>
          </cell>
          <cell r="H162" t="str">
            <v>R0206440</v>
          </cell>
          <cell r="I162" t="str">
            <v>PR00048</v>
          </cell>
          <cell r="J162" t="str">
            <v>Ostale usluge</v>
          </cell>
          <cell r="L162">
            <v>11000</v>
          </cell>
          <cell r="M162">
            <v>16400</v>
          </cell>
          <cell r="N162">
            <v>11000</v>
          </cell>
          <cell r="O162">
            <v>3972.33</v>
          </cell>
          <cell r="P162">
            <v>3972.33</v>
          </cell>
          <cell r="Q162"/>
          <cell r="R162"/>
          <cell r="S162" t="str">
            <v>A212402521</v>
          </cell>
          <cell r="T162" t="str">
            <v>3239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</row>
        <row r="163">
          <cell r="A163" t="str">
            <v>A2124025213241</v>
          </cell>
          <cell r="B163" t="str">
            <v>3</v>
          </cell>
          <cell r="C163" t="str">
            <v>32</v>
          </cell>
          <cell r="D163" t="str">
            <v>324</v>
          </cell>
          <cell r="E163" t="str">
            <v>A212402</v>
          </cell>
          <cell r="F163">
            <v>521</v>
          </cell>
          <cell r="G163" t="str">
            <v>3241</v>
          </cell>
          <cell r="H163" t="str">
            <v>R0206443</v>
          </cell>
          <cell r="I163" t="str">
            <v>PR00141</v>
          </cell>
          <cell r="J163" t="str">
            <v>Naknade troškova osobama izvan radnog odnosa</v>
          </cell>
          <cell r="L163">
            <v>0</v>
          </cell>
          <cell r="M163">
            <v>1000</v>
          </cell>
          <cell r="N163">
            <v>0</v>
          </cell>
          <cell r="O163">
            <v>283.44</v>
          </cell>
          <cell r="P163">
            <v>283.44</v>
          </cell>
          <cell r="Q163"/>
          <cell r="R163"/>
          <cell r="S163" t="str">
            <v>A212402521</v>
          </cell>
          <cell r="T163" t="str">
            <v>3241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</row>
        <row r="164">
          <cell r="A164" t="str">
            <v>A2124025213293</v>
          </cell>
          <cell r="B164" t="str">
            <v>3</v>
          </cell>
          <cell r="C164" t="str">
            <v>32</v>
          </cell>
          <cell r="D164" t="str">
            <v>329</v>
          </cell>
          <cell r="E164" t="str">
            <v>A212402</v>
          </cell>
          <cell r="F164">
            <v>521</v>
          </cell>
          <cell r="G164" t="str">
            <v>3293</v>
          </cell>
          <cell r="H164" t="str">
            <v>R0206444</v>
          </cell>
          <cell r="I164" t="str">
            <v>PR00049</v>
          </cell>
          <cell r="J164" t="str">
            <v>Reprezentacija</v>
          </cell>
          <cell r="L164">
            <v>3300</v>
          </cell>
          <cell r="M164">
            <v>2300</v>
          </cell>
          <cell r="N164">
            <v>3300</v>
          </cell>
          <cell r="O164">
            <v>573.99</v>
          </cell>
          <cell r="P164">
            <v>573.99</v>
          </cell>
          <cell r="Q164"/>
          <cell r="R164"/>
          <cell r="S164" t="str">
            <v>A212402521</v>
          </cell>
          <cell r="T164" t="str">
            <v>3293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</row>
        <row r="165">
          <cell r="A165" t="str">
            <v>A2124025213294</v>
          </cell>
          <cell r="B165" t="str">
            <v>3</v>
          </cell>
          <cell r="C165" t="str">
            <v>32</v>
          </cell>
          <cell r="D165" t="str">
            <v>329</v>
          </cell>
          <cell r="E165" t="str">
            <v>A212402</v>
          </cell>
          <cell r="F165">
            <v>521</v>
          </cell>
          <cell r="G165" t="str">
            <v>3294</v>
          </cell>
          <cell r="H165" t="str">
            <v>R9002676</v>
          </cell>
          <cell r="I165" t="str">
            <v>PR00312</v>
          </cell>
          <cell r="J165" t="str">
            <v>Članarine i norme</v>
          </cell>
          <cell r="L165">
            <v>2000</v>
          </cell>
          <cell r="M165">
            <v>2200</v>
          </cell>
          <cell r="N165">
            <v>2000</v>
          </cell>
          <cell r="O165">
            <v>2000</v>
          </cell>
          <cell r="P165">
            <v>2000</v>
          </cell>
          <cell r="Q165"/>
          <cell r="R165"/>
          <cell r="S165" t="str">
            <v>A212402521</v>
          </cell>
          <cell r="T165" t="str">
            <v>3294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</row>
        <row r="166">
          <cell r="A166" t="str">
            <v>A2124025213299</v>
          </cell>
          <cell r="B166" t="str">
            <v>3</v>
          </cell>
          <cell r="C166" t="str">
            <v>32</v>
          </cell>
          <cell r="D166" t="str">
            <v>329</v>
          </cell>
          <cell r="E166" t="str">
            <v>A212402</v>
          </cell>
          <cell r="F166">
            <v>521</v>
          </cell>
          <cell r="G166" t="str">
            <v>3299</v>
          </cell>
          <cell r="H166" t="str">
            <v>R9008147</v>
          </cell>
          <cell r="I166">
            <v>0</v>
          </cell>
          <cell r="J166" t="str">
            <v>Ostali nespomenuti rashodi poslovanja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/>
          <cell r="R166"/>
          <cell r="S166" t="str">
            <v>A212402521</v>
          </cell>
          <cell r="T166" t="str">
            <v>3299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</row>
        <row r="167">
          <cell r="G167" t="str">
            <v>Izvor  5.4.1 POMOĆI OD MEĐUNARODNIH ORGANIZACIJA-PK</v>
          </cell>
          <cell r="H167"/>
          <cell r="I167"/>
          <cell r="J167"/>
          <cell r="K167" t="str">
            <v>( 521, 541 )</v>
          </cell>
          <cell r="L167">
            <v>0</v>
          </cell>
          <cell r="M167">
            <v>0</v>
          </cell>
          <cell r="N167">
            <v>0</v>
          </cell>
          <cell r="O167">
            <v>709.69</v>
          </cell>
          <cell r="P167">
            <v>709.69</v>
          </cell>
          <cell r="Q167">
            <v>0</v>
          </cell>
          <cell r="R167">
            <v>0</v>
          </cell>
          <cell r="S167"/>
          <cell r="T167"/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</row>
        <row r="168">
          <cell r="A168" t="str">
            <v>A2124025413211</v>
          </cell>
          <cell r="B168" t="str">
            <v>3</v>
          </cell>
          <cell r="C168" t="str">
            <v>32</v>
          </cell>
          <cell r="D168" t="str">
            <v>321</v>
          </cell>
          <cell r="E168" t="str">
            <v>A212402</v>
          </cell>
          <cell r="F168">
            <v>541</v>
          </cell>
          <cell r="G168">
            <v>3211</v>
          </cell>
          <cell r="H168"/>
          <cell r="I168">
            <v>0</v>
          </cell>
          <cell r="J168"/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/>
          <cell r="R168">
            <v>0</v>
          </cell>
          <cell r="S168" t="str">
            <v>A212402541</v>
          </cell>
          <cell r="T168">
            <v>3211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</row>
        <row r="169">
          <cell r="A169" t="str">
            <v>A2124025413221</v>
          </cell>
          <cell r="B169" t="str">
            <v>3</v>
          </cell>
          <cell r="C169" t="str">
            <v>32</v>
          </cell>
          <cell r="D169" t="str">
            <v>322</v>
          </cell>
          <cell r="E169" t="str">
            <v>A212402</v>
          </cell>
          <cell r="F169">
            <v>541</v>
          </cell>
          <cell r="G169" t="str">
            <v>3221</v>
          </cell>
          <cell r="H169" t="str">
            <v>R0205824</v>
          </cell>
          <cell r="I169">
            <v>0</v>
          </cell>
          <cell r="J169" t="str">
            <v>Uredski materijal i ostali materijalni rashodi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/>
          <cell r="R169">
            <v>0</v>
          </cell>
          <cell r="S169" t="str">
            <v>A212402541</v>
          </cell>
          <cell r="T169" t="str">
            <v>3221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</row>
        <row r="170">
          <cell r="A170" t="str">
            <v>A2124025413222</v>
          </cell>
          <cell r="B170" t="str">
            <v>3</v>
          </cell>
          <cell r="C170" t="str">
            <v>32</v>
          </cell>
          <cell r="D170" t="str">
            <v>322</v>
          </cell>
          <cell r="E170" t="str">
            <v>A212402</v>
          </cell>
          <cell r="F170">
            <v>541</v>
          </cell>
          <cell r="G170" t="str">
            <v>3222</v>
          </cell>
          <cell r="H170" t="str">
            <v>R0205825</v>
          </cell>
          <cell r="I170">
            <v>0</v>
          </cell>
          <cell r="J170" t="str">
            <v>Materijal i sirovine</v>
          </cell>
          <cell r="L170">
            <v>0</v>
          </cell>
          <cell r="M170">
            <v>0</v>
          </cell>
          <cell r="N170">
            <v>0</v>
          </cell>
          <cell r="O170">
            <v>9.69</v>
          </cell>
          <cell r="P170">
            <v>9.69</v>
          </cell>
          <cell r="Q170"/>
          <cell r="R170">
            <v>0</v>
          </cell>
          <cell r="S170" t="str">
            <v>A212402541</v>
          </cell>
          <cell r="T170" t="str">
            <v>3222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</row>
        <row r="171">
          <cell r="A171" t="str">
            <v>A2124025413224</v>
          </cell>
          <cell r="B171" t="str">
            <v>3</v>
          </cell>
          <cell r="C171" t="str">
            <v>32</v>
          </cell>
          <cell r="D171" t="str">
            <v>322</v>
          </cell>
          <cell r="E171" t="str">
            <v>A212402</v>
          </cell>
          <cell r="F171">
            <v>541</v>
          </cell>
          <cell r="G171" t="str">
            <v>3224</v>
          </cell>
          <cell r="H171" t="str">
            <v>R0205826</v>
          </cell>
          <cell r="I171">
            <v>0</v>
          </cell>
          <cell r="J171" t="str">
            <v>Materijal i dijelovi za tekuće i investicijsko održavanje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/>
          <cell r="R171">
            <v>0</v>
          </cell>
          <cell r="S171" t="str">
            <v>A212402541</v>
          </cell>
          <cell r="T171" t="str">
            <v>3224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</row>
        <row r="172">
          <cell r="A172" t="str">
            <v>A2124025413233</v>
          </cell>
          <cell r="B172" t="str">
            <v>3</v>
          </cell>
          <cell r="C172" t="str">
            <v>32</v>
          </cell>
          <cell r="D172" t="str">
            <v>323</v>
          </cell>
          <cell r="E172" t="str">
            <v>A212402</v>
          </cell>
          <cell r="F172">
            <v>541</v>
          </cell>
          <cell r="G172" t="str">
            <v>3233</v>
          </cell>
          <cell r="H172" t="str">
            <v>R0205828</v>
          </cell>
          <cell r="I172">
            <v>0</v>
          </cell>
          <cell r="J172" t="str">
            <v>Usluge promidžbe i informiranja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/>
          <cell r="R172">
            <v>0</v>
          </cell>
          <cell r="S172" t="str">
            <v>A212402541</v>
          </cell>
          <cell r="T172" t="str">
            <v>3233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</row>
        <row r="173">
          <cell r="A173" t="str">
            <v>A2124025413237</v>
          </cell>
          <cell r="B173" t="str">
            <v>3</v>
          </cell>
          <cell r="C173" t="str">
            <v>32</v>
          </cell>
          <cell r="D173" t="str">
            <v>323</v>
          </cell>
          <cell r="E173" t="str">
            <v>A212402</v>
          </cell>
          <cell r="F173">
            <v>541</v>
          </cell>
          <cell r="G173" t="str">
            <v>3237</v>
          </cell>
          <cell r="H173" t="str">
            <v>R0205829</v>
          </cell>
          <cell r="I173">
            <v>0</v>
          </cell>
          <cell r="J173" t="str">
            <v>Intelektualne i osobne usluge</v>
          </cell>
          <cell r="L173">
            <v>0</v>
          </cell>
          <cell r="M173">
            <v>0</v>
          </cell>
          <cell r="N173">
            <v>0</v>
          </cell>
          <cell r="O173">
            <v>700</v>
          </cell>
          <cell r="P173">
            <v>700</v>
          </cell>
          <cell r="Q173"/>
          <cell r="R173">
            <v>0</v>
          </cell>
          <cell r="S173" t="str">
            <v>A212402541</v>
          </cell>
          <cell r="T173" t="str">
            <v>3237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</row>
        <row r="174">
          <cell r="A174" t="str">
            <v>A2124025413239</v>
          </cell>
          <cell r="B174" t="str">
            <v>3</v>
          </cell>
          <cell r="C174" t="str">
            <v>32</v>
          </cell>
          <cell r="D174" t="str">
            <v>323</v>
          </cell>
          <cell r="E174" t="str">
            <v>A212402</v>
          </cell>
          <cell r="F174">
            <v>541</v>
          </cell>
          <cell r="G174" t="str">
            <v>3239</v>
          </cell>
          <cell r="H174" t="str">
            <v>R9004154</v>
          </cell>
          <cell r="I174">
            <v>0</v>
          </cell>
          <cell r="J174" t="str">
            <v>Ostale usluge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/>
          <cell r="R174">
            <v>0</v>
          </cell>
          <cell r="S174" t="str">
            <v>A212402541</v>
          </cell>
          <cell r="T174" t="str">
            <v>3239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</row>
        <row r="175">
          <cell r="A175" t="str">
            <v>A2124025413293</v>
          </cell>
          <cell r="B175" t="str">
            <v>3</v>
          </cell>
          <cell r="C175" t="str">
            <v>32</v>
          </cell>
          <cell r="D175" t="str">
            <v>329</v>
          </cell>
          <cell r="E175" t="str">
            <v>A212402</v>
          </cell>
          <cell r="F175">
            <v>541</v>
          </cell>
          <cell r="G175">
            <v>3293</v>
          </cell>
          <cell r="H175"/>
          <cell r="I175">
            <v>0</v>
          </cell>
          <cell r="J175"/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/>
          <cell r="R175">
            <v>0</v>
          </cell>
          <cell r="S175" t="str">
            <v>A212402541</v>
          </cell>
          <cell r="T175">
            <v>3293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</row>
        <row r="176">
          <cell r="A176" t="str">
            <v>A2124025414221</v>
          </cell>
          <cell r="B176" t="str">
            <v>4</v>
          </cell>
          <cell r="C176" t="str">
            <v>42</v>
          </cell>
          <cell r="D176" t="str">
            <v>422</v>
          </cell>
          <cell r="E176" t="str">
            <v>A212402</v>
          </cell>
          <cell r="F176">
            <v>541</v>
          </cell>
          <cell r="G176">
            <v>4221</v>
          </cell>
          <cell r="H176"/>
          <cell r="I176">
            <v>0</v>
          </cell>
          <cell r="J176"/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/>
          <cell r="R176">
            <v>0</v>
          </cell>
          <cell r="S176" t="str">
            <v>A212402541</v>
          </cell>
          <cell r="T176">
            <v>4221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</row>
        <row r="177">
          <cell r="G177" t="str">
            <v>Izvor  5.6.1 EUROPSKI SOCIJALNI FOND PLUS</v>
          </cell>
          <cell r="H177"/>
          <cell r="I177"/>
          <cell r="J177"/>
          <cell r="K177" t="str">
            <v>()</v>
          </cell>
          <cell r="L177">
            <v>0</v>
          </cell>
          <cell r="M177">
            <v>28000</v>
          </cell>
          <cell r="N177">
            <v>0</v>
          </cell>
          <cell r="O177">
            <v>5198.3499999999995</v>
          </cell>
          <cell r="P177">
            <v>5198.3499999999995</v>
          </cell>
          <cell r="Q177">
            <v>0</v>
          </cell>
          <cell r="R177">
            <v>0</v>
          </cell>
          <cell r="S177"/>
          <cell r="T177"/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</row>
        <row r="178">
          <cell r="A178" t="str">
            <v>A2124025613111</v>
          </cell>
          <cell r="B178" t="str">
            <v>3</v>
          </cell>
          <cell r="C178" t="str">
            <v>31</v>
          </cell>
          <cell r="D178" t="str">
            <v>311</v>
          </cell>
          <cell r="E178" t="str">
            <v>A212402</v>
          </cell>
          <cell r="F178">
            <v>561</v>
          </cell>
          <cell r="G178" t="str">
            <v>3111</v>
          </cell>
          <cell r="H178" t="str">
            <v>R9208087</v>
          </cell>
          <cell r="I178">
            <v>0</v>
          </cell>
          <cell r="J178" t="str">
            <v>Plaće za redovan rad</v>
          </cell>
          <cell r="L178">
            <v>0</v>
          </cell>
          <cell r="M178">
            <v>8600</v>
          </cell>
          <cell r="N178">
            <v>0</v>
          </cell>
          <cell r="O178">
            <v>0</v>
          </cell>
          <cell r="P178">
            <v>0</v>
          </cell>
          <cell r="Q178"/>
          <cell r="R178">
            <v>0</v>
          </cell>
          <cell r="S178" t="str">
            <v>A212402541</v>
          </cell>
          <cell r="T178" t="str">
            <v>3111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</row>
        <row r="179">
          <cell r="A179" t="str">
            <v>A2124025613211</v>
          </cell>
          <cell r="B179" t="str">
            <v>3</v>
          </cell>
          <cell r="C179" t="str">
            <v>32</v>
          </cell>
          <cell r="D179" t="str">
            <v>321</v>
          </cell>
          <cell r="E179" t="str">
            <v>A212402</v>
          </cell>
          <cell r="F179">
            <v>561</v>
          </cell>
          <cell r="G179" t="str">
            <v>3211</v>
          </cell>
          <cell r="H179" t="str">
            <v>R9208070</v>
          </cell>
          <cell r="I179">
            <v>0</v>
          </cell>
          <cell r="J179" t="str">
            <v>Službena putovanja</v>
          </cell>
          <cell r="L179">
            <v>0</v>
          </cell>
          <cell r="M179">
            <v>0</v>
          </cell>
          <cell r="N179">
            <v>0</v>
          </cell>
          <cell r="O179">
            <v>4273.8999999999996</v>
          </cell>
          <cell r="P179">
            <v>4273.8999999999996</v>
          </cell>
          <cell r="Q179"/>
          <cell r="R179">
            <v>0</v>
          </cell>
          <cell r="S179" t="str">
            <v>A212402541</v>
          </cell>
          <cell r="T179" t="str">
            <v>3211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</row>
        <row r="180">
          <cell r="A180" t="str">
            <v>A2124025613233</v>
          </cell>
          <cell r="B180" t="str">
            <v>3</v>
          </cell>
          <cell r="C180" t="str">
            <v>32</v>
          </cell>
          <cell r="D180" t="str">
            <v>323</v>
          </cell>
          <cell r="E180" t="str">
            <v>A212402</v>
          </cell>
          <cell r="F180">
            <v>561</v>
          </cell>
          <cell r="G180" t="str">
            <v>3233</v>
          </cell>
          <cell r="H180" t="str">
            <v>R9208088</v>
          </cell>
          <cell r="I180">
            <v>0</v>
          </cell>
          <cell r="J180" t="str">
            <v>Usluge promidžbe i informiranja</v>
          </cell>
          <cell r="L180">
            <v>0</v>
          </cell>
          <cell r="M180">
            <v>9000</v>
          </cell>
          <cell r="N180">
            <v>0</v>
          </cell>
          <cell r="O180">
            <v>0</v>
          </cell>
          <cell r="P180">
            <v>0</v>
          </cell>
          <cell r="Q180"/>
          <cell r="R180">
            <v>0</v>
          </cell>
          <cell r="S180" t="str">
            <v>A212402541</v>
          </cell>
          <cell r="T180" t="str">
            <v>3233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A2124025613237</v>
          </cell>
          <cell r="B181" t="str">
            <v>3</v>
          </cell>
          <cell r="C181" t="str">
            <v>32</v>
          </cell>
          <cell r="D181" t="str">
            <v>323</v>
          </cell>
          <cell r="E181" t="str">
            <v>A212402</v>
          </cell>
          <cell r="F181">
            <v>561</v>
          </cell>
          <cell r="G181" t="str">
            <v>3237</v>
          </cell>
          <cell r="H181" t="str">
            <v>R9208089</v>
          </cell>
          <cell r="I181">
            <v>0</v>
          </cell>
          <cell r="J181" t="str">
            <v>Intelektualne i osobne usluge</v>
          </cell>
          <cell r="L181">
            <v>0</v>
          </cell>
          <cell r="M181">
            <v>7800</v>
          </cell>
          <cell r="N181">
            <v>0</v>
          </cell>
          <cell r="O181">
            <v>0</v>
          </cell>
          <cell r="P181">
            <v>0</v>
          </cell>
          <cell r="Q181"/>
          <cell r="R181">
            <v>0</v>
          </cell>
          <cell r="S181" t="str">
            <v>A212402541</v>
          </cell>
          <cell r="T181" t="str">
            <v>3237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</row>
        <row r="182">
          <cell r="A182" t="str">
            <v>A2124025613239</v>
          </cell>
          <cell r="B182" t="str">
            <v>3</v>
          </cell>
          <cell r="C182" t="str">
            <v>32</v>
          </cell>
          <cell r="D182" t="str">
            <v>323</v>
          </cell>
          <cell r="E182" t="str">
            <v>A212402</v>
          </cell>
          <cell r="F182">
            <v>561</v>
          </cell>
          <cell r="G182" t="str">
            <v>3239</v>
          </cell>
          <cell r="H182" t="str">
            <v>R9208090</v>
          </cell>
          <cell r="I182">
            <v>0</v>
          </cell>
          <cell r="J182" t="str">
            <v>Ostale usluge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/>
          <cell r="R182">
            <v>0</v>
          </cell>
          <cell r="S182" t="str">
            <v>A212402541</v>
          </cell>
          <cell r="T182" t="str">
            <v>3239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</row>
        <row r="183">
          <cell r="A183" t="str">
            <v>A2124025613241</v>
          </cell>
          <cell r="B183" t="str">
            <v>3</v>
          </cell>
          <cell r="C183" t="str">
            <v>32</v>
          </cell>
          <cell r="D183" t="str">
            <v>324</v>
          </cell>
          <cell r="E183" t="str">
            <v>A212402</v>
          </cell>
          <cell r="F183">
            <v>561</v>
          </cell>
          <cell r="G183" t="str">
            <v>3241</v>
          </cell>
          <cell r="H183" t="str">
            <v>R9208071</v>
          </cell>
          <cell r="I183">
            <v>0</v>
          </cell>
          <cell r="J183" t="str">
            <v>Naknade troškova osobama izvan radnog odnosa</v>
          </cell>
          <cell r="L183">
            <v>0</v>
          </cell>
          <cell r="M183">
            <v>0</v>
          </cell>
          <cell r="N183">
            <v>0</v>
          </cell>
          <cell r="O183">
            <v>747.75</v>
          </cell>
          <cell r="P183">
            <v>747.75</v>
          </cell>
          <cell r="Q183"/>
          <cell r="R183">
            <v>0</v>
          </cell>
          <cell r="S183" t="str">
            <v>A212402541</v>
          </cell>
          <cell r="T183" t="str">
            <v>3241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</row>
        <row r="184">
          <cell r="A184" t="str">
            <v>A2124025613293</v>
          </cell>
          <cell r="B184" t="str">
            <v>3</v>
          </cell>
          <cell r="C184" t="str">
            <v>32</v>
          </cell>
          <cell r="D184" t="str">
            <v>329</v>
          </cell>
          <cell r="E184" t="str">
            <v>A212402</v>
          </cell>
          <cell r="F184">
            <v>561</v>
          </cell>
          <cell r="G184" t="str">
            <v>3293</v>
          </cell>
          <cell r="H184" t="str">
            <v>R9208072</v>
          </cell>
          <cell r="I184">
            <v>0</v>
          </cell>
          <cell r="J184" t="str">
            <v>Reprezentacija</v>
          </cell>
          <cell r="L184">
            <v>0</v>
          </cell>
          <cell r="M184">
            <v>1300</v>
          </cell>
          <cell r="N184">
            <v>0</v>
          </cell>
          <cell r="O184">
            <v>176.7</v>
          </cell>
          <cell r="P184">
            <v>176.7</v>
          </cell>
          <cell r="Q184"/>
          <cell r="R184">
            <v>0</v>
          </cell>
          <cell r="S184" t="str">
            <v>A212402541</v>
          </cell>
          <cell r="T184" t="str">
            <v>3293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</row>
        <row r="185">
          <cell r="A185" t="str">
            <v>A2124025614221</v>
          </cell>
          <cell r="B185" t="str">
            <v>4</v>
          </cell>
          <cell r="C185" t="str">
            <v>42</v>
          </cell>
          <cell r="D185" t="str">
            <v>422</v>
          </cell>
          <cell r="E185" t="str">
            <v>A212402</v>
          </cell>
          <cell r="F185">
            <v>561</v>
          </cell>
          <cell r="G185">
            <v>4221</v>
          </cell>
          <cell r="H185"/>
          <cell r="I185">
            <v>0</v>
          </cell>
          <cell r="J185"/>
          <cell r="L185">
            <v>0</v>
          </cell>
          <cell r="M185">
            <v>1300</v>
          </cell>
          <cell r="N185">
            <v>0</v>
          </cell>
          <cell r="O185">
            <v>0</v>
          </cell>
          <cell r="P185">
            <v>0</v>
          </cell>
          <cell r="Q185"/>
          <cell r="R185">
            <v>0</v>
          </cell>
          <cell r="S185" t="str">
            <v>A212402541</v>
          </cell>
          <cell r="T185">
            <v>4221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</row>
        <row r="186">
          <cell r="G186" t="str">
            <v>Izvor  5.6.2 KOHEZIJSKI FOND</v>
          </cell>
          <cell r="H186"/>
          <cell r="I186"/>
          <cell r="J186"/>
          <cell r="K186" t="str">
            <v>()</v>
          </cell>
          <cell r="L186">
            <v>0</v>
          </cell>
          <cell r="M186">
            <v>1300</v>
          </cell>
          <cell r="N186">
            <v>0</v>
          </cell>
          <cell r="O186">
            <v>2356.86</v>
          </cell>
          <cell r="P186">
            <v>2356.86</v>
          </cell>
          <cell r="Q186">
            <v>0</v>
          </cell>
          <cell r="R186">
            <v>0</v>
          </cell>
          <cell r="S186"/>
          <cell r="T186"/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</row>
        <row r="187">
          <cell r="A187" t="str">
            <v>A2124025623211</v>
          </cell>
          <cell r="B187" t="str">
            <v>3</v>
          </cell>
          <cell r="C187" t="str">
            <v>32</v>
          </cell>
          <cell r="D187" t="str">
            <v>321</v>
          </cell>
          <cell r="E187" t="str">
            <v>A212402</v>
          </cell>
          <cell r="F187">
            <v>562</v>
          </cell>
          <cell r="G187">
            <v>3211</v>
          </cell>
          <cell r="H187"/>
          <cell r="I187"/>
          <cell r="J187"/>
          <cell r="L187">
            <v>0</v>
          </cell>
          <cell r="M187"/>
          <cell r="N187">
            <v>0</v>
          </cell>
          <cell r="O187">
            <v>412.22</v>
          </cell>
          <cell r="P187">
            <v>412.22</v>
          </cell>
          <cell r="Q187"/>
          <cell r="R187">
            <v>0</v>
          </cell>
          <cell r="S187" t="str">
            <v>A212402541</v>
          </cell>
          <cell r="T187">
            <v>3211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</row>
        <row r="188">
          <cell r="A188" t="str">
            <v>A2124025623222</v>
          </cell>
          <cell r="B188" t="str">
            <v>3</v>
          </cell>
          <cell r="C188" t="str">
            <v>32</v>
          </cell>
          <cell r="D188" t="str">
            <v>322</v>
          </cell>
          <cell r="E188" t="str">
            <v>A212402</v>
          </cell>
          <cell r="F188">
            <v>562</v>
          </cell>
          <cell r="G188" t="str">
            <v>3222</v>
          </cell>
          <cell r="H188" t="str">
            <v>R9208073</v>
          </cell>
          <cell r="I188"/>
          <cell r="J188" t="str">
            <v>Materijal i sirovine</v>
          </cell>
          <cell r="K188"/>
          <cell r="L188">
            <v>0</v>
          </cell>
          <cell r="M188">
            <v>400</v>
          </cell>
          <cell r="N188">
            <v>0</v>
          </cell>
          <cell r="O188">
            <v>623.95000000000005</v>
          </cell>
          <cell r="P188">
            <v>623.95000000000005</v>
          </cell>
          <cell r="Q188"/>
          <cell r="R188">
            <v>0</v>
          </cell>
          <cell r="S188" t="str">
            <v>A212402541</v>
          </cell>
          <cell r="T188" t="str">
            <v>3222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</row>
        <row r="189">
          <cell r="A189" t="str">
            <v>A2124025623233</v>
          </cell>
          <cell r="B189" t="str">
            <v>3</v>
          </cell>
          <cell r="C189" t="str">
            <v>32</v>
          </cell>
          <cell r="D189" t="str">
            <v>323</v>
          </cell>
          <cell r="E189" t="str">
            <v>A212402</v>
          </cell>
          <cell r="F189">
            <v>562</v>
          </cell>
          <cell r="G189" t="str">
            <v>3233</v>
          </cell>
          <cell r="H189" t="str">
            <v>R9208074</v>
          </cell>
          <cell r="I189"/>
          <cell r="J189" t="str">
            <v>Usluge promidžbe i informiranja</v>
          </cell>
          <cell r="L189">
            <v>0</v>
          </cell>
          <cell r="M189">
            <v>100</v>
          </cell>
          <cell r="N189">
            <v>0</v>
          </cell>
          <cell r="O189">
            <v>52</v>
          </cell>
          <cell r="P189">
            <v>52</v>
          </cell>
          <cell r="Q189"/>
          <cell r="R189">
            <v>0</v>
          </cell>
          <cell r="S189" t="str">
            <v>A212402541</v>
          </cell>
          <cell r="T189" t="str">
            <v>3233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</row>
        <row r="190">
          <cell r="A190" t="str">
            <v>A2124025623237</v>
          </cell>
          <cell r="B190" t="str">
            <v>3</v>
          </cell>
          <cell r="C190" t="str">
            <v>32</v>
          </cell>
          <cell r="D190" t="str">
            <v>323</v>
          </cell>
          <cell r="E190" t="str">
            <v>A212402</v>
          </cell>
          <cell r="F190">
            <v>562</v>
          </cell>
          <cell r="G190" t="str">
            <v>3237</v>
          </cell>
          <cell r="H190" t="str">
            <v>R9208075</v>
          </cell>
          <cell r="I190"/>
          <cell r="J190" t="str">
            <v>Intelektualne i osobne usluge</v>
          </cell>
          <cell r="L190">
            <v>0</v>
          </cell>
          <cell r="M190">
            <v>300</v>
          </cell>
          <cell r="N190">
            <v>0</v>
          </cell>
          <cell r="O190">
            <v>150</v>
          </cell>
          <cell r="P190">
            <v>150</v>
          </cell>
          <cell r="Q190"/>
          <cell r="R190">
            <v>0</v>
          </cell>
          <cell r="S190" t="str">
            <v>A212402541</v>
          </cell>
          <cell r="T190" t="str">
            <v>3237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</row>
        <row r="191">
          <cell r="A191" t="str">
            <v>A2124025623239</v>
          </cell>
          <cell r="B191" t="str">
            <v>3</v>
          </cell>
          <cell r="C191" t="str">
            <v>32</v>
          </cell>
          <cell r="D191" t="str">
            <v>323</v>
          </cell>
          <cell r="E191" t="str">
            <v>A212402</v>
          </cell>
          <cell r="F191">
            <v>562</v>
          </cell>
          <cell r="G191" t="str">
            <v>3239</v>
          </cell>
          <cell r="H191" t="str">
            <v>R9208076</v>
          </cell>
          <cell r="I191"/>
          <cell r="J191" t="str">
            <v>Ostale usluge</v>
          </cell>
          <cell r="L191">
            <v>0</v>
          </cell>
          <cell r="M191">
            <v>500</v>
          </cell>
          <cell r="N191">
            <v>0</v>
          </cell>
          <cell r="O191">
            <v>498</v>
          </cell>
          <cell r="P191">
            <v>498</v>
          </cell>
          <cell r="Q191"/>
          <cell r="R191">
            <v>0</v>
          </cell>
          <cell r="S191" t="str">
            <v>A212402541</v>
          </cell>
          <cell r="T191" t="str">
            <v>3239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</row>
        <row r="192">
          <cell r="A192" t="str">
            <v>A2124025623293</v>
          </cell>
          <cell r="B192" t="str">
            <v>3</v>
          </cell>
          <cell r="C192" t="str">
            <v>32</v>
          </cell>
          <cell r="D192" t="str">
            <v>329</v>
          </cell>
          <cell r="E192" t="str">
            <v>A212402</v>
          </cell>
          <cell r="F192">
            <v>562</v>
          </cell>
          <cell r="G192" t="str">
            <v>3293</v>
          </cell>
          <cell r="H192" t="str">
            <v>R9208077</v>
          </cell>
          <cell r="I192"/>
          <cell r="J192" t="str">
            <v>Reprezentacija</v>
          </cell>
          <cell r="K192"/>
          <cell r="L192">
            <v>0</v>
          </cell>
          <cell r="M192">
            <v>0</v>
          </cell>
          <cell r="N192">
            <v>0</v>
          </cell>
          <cell r="O192">
            <v>178.84</v>
          </cell>
          <cell r="P192">
            <v>178.84</v>
          </cell>
          <cell r="Q192"/>
          <cell r="R192">
            <v>0</v>
          </cell>
          <cell r="S192" t="str">
            <v>A212402541</v>
          </cell>
          <cell r="T192" t="str">
            <v>3293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</row>
        <row r="193">
          <cell r="A193" t="str">
            <v>A2124025624221</v>
          </cell>
          <cell r="B193" t="str">
            <v>4</v>
          </cell>
          <cell r="C193" t="str">
            <v>42</v>
          </cell>
          <cell r="D193" t="str">
            <v>422</v>
          </cell>
          <cell r="E193" t="str">
            <v>A212402</v>
          </cell>
          <cell r="F193">
            <v>562</v>
          </cell>
          <cell r="G193">
            <v>4221</v>
          </cell>
          <cell r="H193"/>
          <cell r="I193"/>
          <cell r="J193" t="str">
            <v>Reprezentacija</v>
          </cell>
          <cell r="L193">
            <v>0</v>
          </cell>
          <cell r="M193">
            <v>0</v>
          </cell>
          <cell r="N193">
            <v>0</v>
          </cell>
          <cell r="O193">
            <v>441.85</v>
          </cell>
          <cell r="P193">
            <v>441.85</v>
          </cell>
          <cell r="Q193"/>
          <cell r="R193">
            <v>0</v>
          </cell>
          <cell r="S193" t="str">
            <v>A212402541</v>
          </cell>
          <cell r="T193">
            <v>4221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</row>
        <row r="194">
          <cell r="G194" t="str">
            <v>Aktivnost A212404 ČLANSKE ISKAZNICE KNJIŽNICE GRADA ZAGREBA DJECI I UČENICIMA GRADA ZAGREBA</v>
          </cell>
          <cell r="H194"/>
          <cell r="I194"/>
          <cell r="J194"/>
          <cell r="K194" t="str">
            <v>( 0104 )</v>
          </cell>
          <cell r="L194">
            <v>188000</v>
          </cell>
          <cell r="M194">
            <v>188000</v>
          </cell>
          <cell r="N194">
            <v>188000</v>
          </cell>
          <cell r="O194">
            <v>0</v>
          </cell>
          <cell r="P194">
            <v>0</v>
          </cell>
          <cell r="Q194">
            <v>0</v>
          </cell>
          <cell r="R194">
            <v>188000</v>
          </cell>
          <cell r="S194"/>
          <cell r="T194"/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1</v>
          </cell>
        </row>
        <row r="195">
          <cell r="G195" t="str">
            <v>Izvor  1.1.2 OPĆI PRIHODI I PRIMICI - PK U SUSTAVU RIZNICE</v>
          </cell>
          <cell r="H195"/>
          <cell r="I195"/>
          <cell r="J195"/>
          <cell r="K195" t="str">
            <v>( 12 )</v>
          </cell>
          <cell r="L195">
            <v>188000</v>
          </cell>
          <cell r="M195">
            <v>188000</v>
          </cell>
          <cell r="N195">
            <v>188000</v>
          </cell>
          <cell r="O195">
            <v>0</v>
          </cell>
          <cell r="P195">
            <v>0</v>
          </cell>
          <cell r="Q195">
            <v>0</v>
          </cell>
          <cell r="R195">
            <v>188000</v>
          </cell>
          <cell r="S195"/>
          <cell r="T195"/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1</v>
          </cell>
        </row>
        <row r="196">
          <cell r="A196" t="str">
            <v>A2124041123235</v>
          </cell>
          <cell r="B196" t="str">
            <v>3</v>
          </cell>
          <cell r="C196" t="str">
            <v>32</v>
          </cell>
          <cell r="D196" t="str">
            <v>323</v>
          </cell>
          <cell r="E196" t="str">
            <v>A212404</v>
          </cell>
          <cell r="F196">
            <v>112</v>
          </cell>
          <cell r="G196" t="str">
            <v>3235</v>
          </cell>
          <cell r="H196" t="str">
            <v>R9015762</v>
          </cell>
          <cell r="I196" t="str">
            <v>PR00278</v>
          </cell>
          <cell r="J196" t="str">
            <v>Zakupnine i najamnine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 t="str">
            <v>A212404112</v>
          </cell>
          <cell r="T196" t="str">
            <v>3235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</row>
        <row r="197">
          <cell r="A197" t="str">
            <v>A2124041123722</v>
          </cell>
          <cell r="B197" t="str">
            <v>3</v>
          </cell>
          <cell r="C197" t="str">
            <v>37</v>
          </cell>
          <cell r="D197" t="str">
            <v>372</v>
          </cell>
          <cell r="E197" t="str">
            <v>A212404</v>
          </cell>
          <cell r="F197">
            <v>112</v>
          </cell>
          <cell r="G197" t="str">
            <v>3722</v>
          </cell>
          <cell r="H197" t="str">
            <v>R0200062</v>
          </cell>
          <cell r="I197" t="str">
            <v>PR00278</v>
          </cell>
          <cell r="J197" t="str">
            <v>Naknade građanima i kućanstvima u naravi</v>
          </cell>
          <cell r="L197">
            <v>188000</v>
          </cell>
          <cell r="M197">
            <v>188000</v>
          </cell>
          <cell r="N197">
            <v>188000</v>
          </cell>
          <cell r="O197">
            <v>0</v>
          </cell>
          <cell r="P197">
            <v>0</v>
          </cell>
          <cell r="Q197">
            <v>0</v>
          </cell>
          <cell r="R197">
            <v>188000</v>
          </cell>
          <cell r="S197" t="str">
            <v>A212404112</v>
          </cell>
          <cell r="T197" t="str">
            <v>3722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1</v>
          </cell>
        </row>
        <row r="198">
          <cell r="G198" t="str">
            <v>Kapitalni projekt K212401 ODRŽAVANJE I OPREMANJE USTANOVA U KULTURI</v>
          </cell>
          <cell r="H198"/>
          <cell r="I198"/>
          <cell r="J198"/>
          <cell r="K198" t="str">
            <v>( 0102 )</v>
          </cell>
          <cell r="L198">
            <v>3217100</v>
          </cell>
          <cell r="M198">
            <v>3530300</v>
          </cell>
          <cell r="N198">
            <v>3217100</v>
          </cell>
          <cell r="O198">
            <v>1299905.6200000001</v>
          </cell>
          <cell r="P198">
            <v>1299905.6200000001</v>
          </cell>
          <cell r="Q198">
            <v>0</v>
          </cell>
          <cell r="R198">
            <v>2335100</v>
          </cell>
          <cell r="S198"/>
          <cell r="T198"/>
          <cell r="U198">
            <v>1146161.8500000001</v>
          </cell>
          <cell r="V198">
            <v>0</v>
          </cell>
          <cell r="W198">
            <v>0</v>
          </cell>
          <cell r="X198">
            <v>1146161.8500000001</v>
          </cell>
          <cell r="Y198">
            <v>0</v>
          </cell>
          <cell r="Z198">
            <v>9</v>
          </cell>
        </row>
        <row r="199">
          <cell r="G199" t="str">
            <v>Izvor  1.1.2 OPĆI PRIHODI I PRIMICI - PK U SUSTAVU RIZNICE</v>
          </cell>
          <cell r="H199"/>
          <cell r="I199"/>
          <cell r="J199"/>
          <cell r="K199" t="str">
            <v>( 12 )</v>
          </cell>
          <cell r="L199">
            <v>2207800</v>
          </cell>
          <cell r="M199">
            <v>2677300</v>
          </cell>
          <cell r="N199">
            <v>2207800</v>
          </cell>
          <cell r="O199">
            <v>1146161.8500000001</v>
          </cell>
          <cell r="P199">
            <v>1146161.8500000001</v>
          </cell>
          <cell r="Q199">
            <v>0</v>
          </cell>
          <cell r="R199">
            <v>2207800</v>
          </cell>
          <cell r="S199"/>
          <cell r="T199"/>
          <cell r="U199">
            <v>1146161.8500000001</v>
          </cell>
          <cell r="V199">
            <v>0</v>
          </cell>
          <cell r="W199">
            <v>0</v>
          </cell>
          <cell r="X199">
            <v>1146161.8500000001</v>
          </cell>
          <cell r="Y199">
            <v>0</v>
          </cell>
          <cell r="Z199">
            <v>9</v>
          </cell>
        </row>
        <row r="200">
          <cell r="A200" t="str">
            <v>K2124011123222</v>
          </cell>
          <cell r="B200" t="str">
            <v>3</v>
          </cell>
          <cell r="C200" t="str">
            <v>32</v>
          </cell>
          <cell r="D200" t="str">
            <v>322</v>
          </cell>
          <cell r="E200" t="str">
            <v>K212401</v>
          </cell>
          <cell r="F200">
            <v>112</v>
          </cell>
          <cell r="G200" t="str">
            <v>3222</v>
          </cell>
          <cell r="H200" t="str">
            <v>R9023982</v>
          </cell>
          <cell r="I200">
            <v>0</v>
          </cell>
          <cell r="J200" t="str">
            <v>Materijal i sirovine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 t="str">
            <v>K212401112</v>
          </cell>
          <cell r="T200" t="str">
            <v>3222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</row>
        <row r="201">
          <cell r="A201" t="str">
            <v>K2124011123232</v>
          </cell>
          <cell r="B201" t="str">
            <v>3</v>
          </cell>
          <cell r="C201" t="str">
            <v>32</v>
          </cell>
          <cell r="D201" t="str">
            <v>323</v>
          </cell>
          <cell r="E201" t="str">
            <v>K212401</v>
          </cell>
          <cell r="F201">
            <v>112</v>
          </cell>
          <cell r="G201" t="str">
            <v>3232</v>
          </cell>
          <cell r="H201" t="str">
            <v>R9017618</v>
          </cell>
          <cell r="I201">
            <v>0</v>
          </cell>
          <cell r="J201" t="str">
            <v>Usluge tekućeg i investicijskog  održavanja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 t="str">
            <v>K212401112</v>
          </cell>
          <cell r="T201" t="str">
            <v>3232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</row>
        <row r="202">
          <cell r="A202" t="str">
            <v>K2124011124221</v>
          </cell>
          <cell r="B202" t="str">
            <v>4</v>
          </cell>
          <cell r="C202" t="str">
            <v>42</v>
          </cell>
          <cell r="D202" t="str">
            <v>422</v>
          </cell>
          <cell r="E202" t="str">
            <v>K212401</v>
          </cell>
          <cell r="F202">
            <v>112</v>
          </cell>
          <cell r="G202" t="str">
            <v>4221</v>
          </cell>
          <cell r="H202" t="str">
            <v>R9017727</v>
          </cell>
          <cell r="I202">
            <v>0</v>
          </cell>
          <cell r="J202" t="str">
            <v>Uredska oprema i namještaj</v>
          </cell>
          <cell r="L202">
            <v>69100</v>
          </cell>
          <cell r="M202">
            <v>169100</v>
          </cell>
          <cell r="N202">
            <v>69100</v>
          </cell>
          <cell r="O202">
            <v>0</v>
          </cell>
          <cell r="P202">
            <v>0</v>
          </cell>
          <cell r="Q202">
            <v>0</v>
          </cell>
          <cell r="R202">
            <v>69100</v>
          </cell>
          <cell r="S202" t="str">
            <v>K212401112</v>
          </cell>
          <cell r="T202" t="str">
            <v>4221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</row>
        <row r="203">
          <cell r="A203" t="str">
            <v>K2124011124223</v>
          </cell>
          <cell r="B203" t="str">
            <v>4</v>
          </cell>
          <cell r="C203" t="str">
            <v>42</v>
          </cell>
          <cell r="D203" t="str">
            <v>422</v>
          </cell>
          <cell r="E203" t="str">
            <v>K212401</v>
          </cell>
          <cell r="F203">
            <v>112</v>
          </cell>
          <cell r="G203" t="str">
            <v>4223</v>
          </cell>
          <cell r="H203" t="str">
            <v>R9023950</v>
          </cell>
          <cell r="I203">
            <v>0</v>
          </cell>
          <cell r="J203" t="str">
            <v>Oprema za održavanje i zaštitu</v>
          </cell>
          <cell r="L203">
            <v>171500</v>
          </cell>
          <cell r="M203">
            <v>171500</v>
          </cell>
          <cell r="N203">
            <v>171500</v>
          </cell>
          <cell r="O203">
            <v>0</v>
          </cell>
          <cell r="P203">
            <v>0</v>
          </cell>
          <cell r="Q203">
            <v>0</v>
          </cell>
          <cell r="R203">
            <v>171500</v>
          </cell>
          <cell r="S203" t="str">
            <v>K212401112</v>
          </cell>
          <cell r="T203" t="str">
            <v>4223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</row>
        <row r="204">
          <cell r="A204" t="str">
            <v>K2124011124231</v>
          </cell>
          <cell r="B204" t="str">
            <v>4</v>
          </cell>
          <cell r="C204" t="str">
            <v>42</v>
          </cell>
          <cell r="D204" t="str">
            <v>423</v>
          </cell>
          <cell r="E204" t="str">
            <v>K212401</v>
          </cell>
          <cell r="F204">
            <v>112</v>
          </cell>
          <cell r="G204" t="str">
            <v>4231</v>
          </cell>
          <cell r="H204" t="str">
            <v>R9023944</v>
          </cell>
          <cell r="I204">
            <v>0</v>
          </cell>
          <cell r="J204" t="str">
            <v>Prijevozna sredstva u cestovnom prometu</v>
          </cell>
          <cell r="L204">
            <v>166500</v>
          </cell>
          <cell r="M204">
            <v>166500</v>
          </cell>
          <cell r="N204">
            <v>166500</v>
          </cell>
          <cell r="O204">
            <v>166500</v>
          </cell>
          <cell r="P204">
            <v>166500</v>
          </cell>
          <cell r="Q204">
            <v>0</v>
          </cell>
          <cell r="R204">
            <v>166500</v>
          </cell>
          <cell r="S204" t="str">
            <v>K212401112</v>
          </cell>
          <cell r="T204" t="str">
            <v>4231</v>
          </cell>
          <cell r="U204">
            <v>166500</v>
          </cell>
          <cell r="V204">
            <v>0</v>
          </cell>
          <cell r="W204">
            <v>0</v>
          </cell>
          <cell r="X204">
            <v>166500</v>
          </cell>
          <cell r="Y204">
            <v>0</v>
          </cell>
          <cell r="Z204">
            <v>1</v>
          </cell>
        </row>
        <row r="205">
          <cell r="A205" t="str">
            <v>K2124011124241</v>
          </cell>
          <cell r="B205" t="str">
            <v>4</v>
          </cell>
          <cell r="C205" t="str">
            <v>42</v>
          </cell>
          <cell r="D205" t="str">
            <v>424</v>
          </cell>
          <cell r="E205" t="str">
            <v>K212401</v>
          </cell>
          <cell r="F205">
            <v>112</v>
          </cell>
          <cell r="G205" t="str">
            <v>4241</v>
          </cell>
          <cell r="H205" t="str">
            <v>R0195869</v>
          </cell>
          <cell r="I205" t="str">
            <v>PR00029</v>
          </cell>
          <cell r="J205" t="str">
            <v>Knjige</v>
          </cell>
          <cell r="L205">
            <v>1525000</v>
          </cell>
          <cell r="M205">
            <v>1525000</v>
          </cell>
          <cell r="N205">
            <v>1525000</v>
          </cell>
          <cell r="O205">
            <v>762502</v>
          </cell>
          <cell r="P205">
            <v>762502</v>
          </cell>
          <cell r="Q205">
            <v>0</v>
          </cell>
          <cell r="R205">
            <v>1525000</v>
          </cell>
          <cell r="S205" t="str">
            <v>K212401112</v>
          </cell>
          <cell r="T205" t="str">
            <v>4241</v>
          </cell>
          <cell r="U205">
            <v>762502</v>
          </cell>
          <cell r="V205">
            <v>0</v>
          </cell>
          <cell r="W205">
            <v>0</v>
          </cell>
          <cell r="X205">
            <v>762502</v>
          </cell>
          <cell r="Y205">
            <v>0</v>
          </cell>
          <cell r="Z205">
            <v>7</v>
          </cell>
        </row>
        <row r="206">
          <cell r="A206" t="str">
            <v>K2124011124262</v>
          </cell>
          <cell r="B206" t="str">
            <v>4</v>
          </cell>
          <cell r="C206" t="str">
            <v>42</v>
          </cell>
          <cell r="D206" t="str">
            <v>426</v>
          </cell>
          <cell r="E206" t="str">
            <v>K212401</v>
          </cell>
          <cell r="F206">
            <v>112</v>
          </cell>
          <cell r="G206" t="str">
            <v>4262</v>
          </cell>
          <cell r="H206" t="str">
            <v>R9028248</v>
          </cell>
          <cell r="I206">
            <v>0</v>
          </cell>
          <cell r="J206" t="str">
            <v>Ulaganja u računalne programe</v>
          </cell>
          <cell r="L206">
            <v>4200</v>
          </cell>
          <cell r="M206">
            <v>108600</v>
          </cell>
          <cell r="N206">
            <v>4200</v>
          </cell>
          <cell r="O206">
            <v>0</v>
          </cell>
          <cell r="P206">
            <v>0</v>
          </cell>
          <cell r="Q206">
            <v>0</v>
          </cell>
          <cell r="R206">
            <v>4200</v>
          </cell>
          <cell r="S206" t="str">
            <v>K212401112</v>
          </cell>
          <cell r="T206" t="str">
            <v>4262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</row>
        <row r="207">
          <cell r="A207" t="str">
            <v>K2124011124511</v>
          </cell>
          <cell r="B207" t="str">
            <v>4</v>
          </cell>
          <cell r="C207" t="str">
            <v>45</v>
          </cell>
          <cell r="D207" t="str">
            <v>451</v>
          </cell>
          <cell r="E207" t="str">
            <v>K212401</v>
          </cell>
          <cell r="F207">
            <v>112</v>
          </cell>
          <cell r="G207" t="str">
            <v>4511</v>
          </cell>
          <cell r="H207" t="str">
            <v>R9010976</v>
          </cell>
          <cell r="I207" t="str">
            <v>PR00306</v>
          </cell>
          <cell r="J207" t="str">
            <v>Dodatna ulaganja na građevinskim objektima</v>
          </cell>
          <cell r="L207">
            <v>271500</v>
          </cell>
          <cell r="M207">
            <v>536600</v>
          </cell>
          <cell r="N207">
            <v>271500</v>
          </cell>
          <cell r="O207">
            <v>217159.85</v>
          </cell>
          <cell r="P207">
            <v>217159.85</v>
          </cell>
          <cell r="Q207">
            <v>0</v>
          </cell>
          <cell r="R207">
            <v>271500</v>
          </cell>
          <cell r="S207" t="str">
            <v>K212401112</v>
          </cell>
          <cell r="T207" t="str">
            <v>4511</v>
          </cell>
          <cell r="U207">
            <v>217159.85</v>
          </cell>
          <cell r="V207">
            <v>0</v>
          </cell>
          <cell r="W207">
            <v>0</v>
          </cell>
          <cell r="X207">
            <v>217159.85</v>
          </cell>
          <cell r="Y207">
            <v>0</v>
          </cell>
          <cell r="Z207">
            <v>1</v>
          </cell>
        </row>
        <row r="208">
          <cell r="G208" t="str">
            <v>Izvor  4.3.1 PRIHODI ZA POSEBNE NAMJENE-PRORAČUNSKI KORISNICI</v>
          </cell>
          <cell r="H208"/>
          <cell r="I208"/>
          <cell r="J208"/>
          <cell r="K208" t="str">
            <v>( 31 )</v>
          </cell>
          <cell r="L208">
            <v>26000</v>
          </cell>
          <cell r="M208">
            <v>26000</v>
          </cell>
          <cell r="N208">
            <v>26000</v>
          </cell>
          <cell r="O208">
            <v>15326.16</v>
          </cell>
          <cell r="P208">
            <v>15326.16</v>
          </cell>
          <cell r="Q208">
            <v>0</v>
          </cell>
          <cell r="R208">
            <v>26000</v>
          </cell>
          <cell r="S208"/>
          <cell r="T208"/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</row>
        <row r="209">
          <cell r="A209" t="str">
            <v>K2124014314221</v>
          </cell>
          <cell r="B209" t="str">
            <v>4</v>
          </cell>
          <cell r="C209" t="str">
            <v>42</v>
          </cell>
          <cell r="D209" t="str">
            <v>422</v>
          </cell>
          <cell r="E209" t="str">
            <v>K212401</v>
          </cell>
          <cell r="F209">
            <v>431</v>
          </cell>
          <cell r="G209" t="str">
            <v>4221</v>
          </cell>
          <cell r="H209" t="str">
            <v>R0205790</v>
          </cell>
          <cell r="I209" t="str">
            <v>PR00127</v>
          </cell>
          <cell r="J209" t="str">
            <v>Uredska oprema i namještaj</v>
          </cell>
          <cell r="L209">
            <v>20000</v>
          </cell>
          <cell r="M209">
            <v>20000</v>
          </cell>
          <cell r="N209">
            <v>20000</v>
          </cell>
          <cell r="O209">
            <v>7511.53</v>
          </cell>
          <cell r="P209">
            <v>7511.53</v>
          </cell>
          <cell r="Q209"/>
          <cell r="R209">
            <v>20000</v>
          </cell>
          <cell r="S209" t="str">
            <v>K212401431</v>
          </cell>
          <cell r="T209" t="str">
            <v>4221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</row>
        <row r="210">
          <cell r="A210" t="str">
            <v>K2124014314222</v>
          </cell>
          <cell r="B210" t="str">
            <v>4</v>
          </cell>
          <cell r="C210" t="str">
            <v>42</v>
          </cell>
          <cell r="D210" t="str">
            <v>422</v>
          </cell>
          <cell r="E210" t="str">
            <v>K212401</v>
          </cell>
          <cell r="F210">
            <v>431</v>
          </cell>
          <cell r="G210" t="str">
            <v>4222</v>
          </cell>
          <cell r="H210" t="str">
            <v>R9008148</v>
          </cell>
          <cell r="I210">
            <v>0</v>
          </cell>
          <cell r="J210" t="str">
            <v>Komunikacijska oprema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/>
          <cell r="R210">
            <v>0</v>
          </cell>
          <cell r="S210" t="str">
            <v>K212401431</v>
          </cell>
          <cell r="T210" t="str">
            <v>4222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</row>
        <row r="211">
          <cell r="A211" t="str">
            <v>K2124014314223</v>
          </cell>
          <cell r="B211" t="str">
            <v>4</v>
          </cell>
          <cell r="C211" t="str">
            <v>42</v>
          </cell>
          <cell r="D211" t="str">
            <v>422</v>
          </cell>
          <cell r="E211" t="str">
            <v>K212401</v>
          </cell>
          <cell r="F211">
            <v>431</v>
          </cell>
          <cell r="G211" t="str">
            <v>4223</v>
          </cell>
          <cell r="H211" t="str">
            <v>R0205791</v>
          </cell>
          <cell r="I211" t="str">
            <v>PR00129</v>
          </cell>
          <cell r="J211" t="str">
            <v>Oprema za održavanje i zaštitu</v>
          </cell>
          <cell r="L211">
            <v>5000</v>
          </cell>
          <cell r="M211">
            <v>5000</v>
          </cell>
          <cell r="N211">
            <v>5000</v>
          </cell>
          <cell r="O211">
            <v>5939.75</v>
          </cell>
          <cell r="P211">
            <v>5939.75</v>
          </cell>
          <cell r="Q211"/>
          <cell r="R211">
            <v>5000</v>
          </cell>
          <cell r="S211" t="str">
            <v>K212401431</v>
          </cell>
          <cell r="T211" t="str">
            <v>4223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</row>
        <row r="212">
          <cell r="A212" t="str">
            <v>K2124014314226</v>
          </cell>
          <cell r="B212" t="str">
            <v>4</v>
          </cell>
          <cell r="C212" t="str">
            <v>42</v>
          </cell>
          <cell r="D212" t="str">
            <v>422</v>
          </cell>
          <cell r="E212" t="str">
            <v>K212401</v>
          </cell>
          <cell r="F212">
            <v>431</v>
          </cell>
          <cell r="G212" t="str">
            <v>4226</v>
          </cell>
          <cell r="H212" t="str">
            <v>R0205792</v>
          </cell>
          <cell r="I212">
            <v>0</v>
          </cell>
          <cell r="J212" t="str">
            <v>Sportska i glazbena oprema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/>
          <cell r="R212">
            <v>0</v>
          </cell>
          <cell r="S212" t="str">
            <v>K212401431</v>
          </cell>
          <cell r="T212" t="str">
            <v>4226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</row>
        <row r="213">
          <cell r="A213" t="str">
            <v>K2124014314231</v>
          </cell>
          <cell r="B213" t="str">
            <v>4</v>
          </cell>
          <cell r="C213" t="str">
            <v>42</v>
          </cell>
          <cell r="D213" t="str">
            <v>423</v>
          </cell>
          <cell r="E213" t="str">
            <v>K212401</v>
          </cell>
          <cell r="F213">
            <v>431</v>
          </cell>
          <cell r="G213" t="str">
            <v>4231</v>
          </cell>
          <cell r="H213" t="str">
            <v>R9026350</v>
          </cell>
          <cell r="I213" t="str">
            <v>PR00131</v>
          </cell>
          <cell r="J213" t="str">
            <v>Prijevozna sredstva u cestovnom prometu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/>
          <cell r="R213">
            <v>0</v>
          </cell>
          <cell r="S213" t="str">
            <v>K212401431</v>
          </cell>
          <cell r="T213" t="str">
            <v>4231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</row>
        <row r="214">
          <cell r="A214" t="str">
            <v>K2124014314241</v>
          </cell>
          <cell r="B214" t="str">
            <v>4</v>
          </cell>
          <cell r="C214" t="str">
            <v>42</v>
          </cell>
          <cell r="D214" t="str">
            <v>424</v>
          </cell>
          <cell r="E214" t="str">
            <v>K212401</v>
          </cell>
          <cell r="F214">
            <v>431</v>
          </cell>
          <cell r="G214" t="str">
            <v>4241</v>
          </cell>
          <cell r="H214" t="str">
            <v>R0205793</v>
          </cell>
          <cell r="I214">
            <v>0</v>
          </cell>
          <cell r="J214" t="str">
            <v>Knjige</v>
          </cell>
          <cell r="L214">
            <v>1000</v>
          </cell>
          <cell r="M214">
            <v>1000</v>
          </cell>
          <cell r="N214">
            <v>1000</v>
          </cell>
          <cell r="O214">
            <v>0</v>
          </cell>
          <cell r="P214">
            <v>0</v>
          </cell>
          <cell r="Q214"/>
          <cell r="R214">
            <v>1000</v>
          </cell>
          <cell r="S214" t="str">
            <v>K212401431</v>
          </cell>
          <cell r="T214" t="str">
            <v>4241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</row>
        <row r="215">
          <cell r="A215" t="str">
            <v>K2124014314262</v>
          </cell>
          <cell r="B215" t="str">
            <v>4</v>
          </cell>
          <cell r="C215" t="str">
            <v>42</v>
          </cell>
          <cell r="D215" t="str">
            <v>426</v>
          </cell>
          <cell r="E215" t="str">
            <v>K212401</v>
          </cell>
          <cell r="F215">
            <v>431</v>
          </cell>
          <cell r="G215" t="str">
            <v>4262</v>
          </cell>
          <cell r="H215" t="str">
            <v>R0205794</v>
          </cell>
          <cell r="I215" t="str">
            <v>PR00132</v>
          </cell>
          <cell r="J215" t="str">
            <v>Ulaganja u računalne programe</v>
          </cell>
          <cell r="L215">
            <v>0</v>
          </cell>
          <cell r="M215">
            <v>0</v>
          </cell>
          <cell r="N215">
            <v>0</v>
          </cell>
          <cell r="O215">
            <v>1874.88</v>
          </cell>
          <cell r="P215">
            <v>1874.88</v>
          </cell>
          <cell r="Q215"/>
          <cell r="R215">
            <v>0</v>
          </cell>
          <cell r="S215" t="str">
            <v>K212401431</v>
          </cell>
          <cell r="T215" t="str">
            <v>4262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</row>
        <row r="216">
          <cell r="A216" t="str">
            <v>K2124014314511</v>
          </cell>
          <cell r="B216" t="str">
            <v>4</v>
          </cell>
          <cell r="C216" t="str">
            <v>45</v>
          </cell>
          <cell r="D216" t="str">
            <v>451</v>
          </cell>
          <cell r="E216" t="str">
            <v>K212401</v>
          </cell>
          <cell r="F216">
            <v>431</v>
          </cell>
          <cell r="G216" t="str">
            <v>4511</v>
          </cell>
          <cell r="H216" t="str">
            <v>R9014748</v>
          </cell>
          <cell r="I216">
            <v>0</v>
          </cell>
          <cell r="J216" t="str">
            <v>Dodatna ulaganja na građevinskim objektima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/>
          <cell r="R216">
            <v>0</v>
          </cell>
          <cell r="S216" t="str">
            <v>K212401431</v>
          </cell>
          <cell r="T216" t="str">
            <v>4511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</row>
        <row r="217">
          <cell r="G217" t="str">
            <v>Izvor  5.2.1 POMOĆI IZ DRUGIH PRORAČUNA-PK</v>
          </cell>
          <cell r="H217"/>
          <cell r="I217"/>
          <cell r="J217"/>
          <cell r="K217" t="str">
            <v>( 11, 111, 511, 512 )</v>
          </cell>
          <cell r="L217">
            <v>882000</v>
          </cell>
          <cell r="M217">
            <v>725700</v>
          </cell>
          <cell r="N217">
            <v>882000</v>
          </cell>
          <cell r="O217">
            <v>138417.60999999999</v>
          </cell>
          <cell r="P217">
            <v>138417.60999999999</v>
          </cell>
          <cell r="Q217">
            <v>0</v>
          </cell>
          <cell r="R217">
            <v>0</v>
          </cell>
          <cell r="S217"/>
          <cell r="T217"/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</row>
        <row r="218">
          <cell r="A218" t="str">
            <v>K2124015214221</v>
          </cell>
          <cell r="B218" t="str">
            <v>4</v>
          </cell>
          <cell r="C218" t="str">
            <v>42</v>
          </cell>
          <cell r="D218" t="str">
            <v>422</v>
          </cell>
          <cell r="E218" t="str">
            <v>K212401</v>
          </cell>
          <cell r="F218">
            <v>521</v>
          </cell>
          <cell r="G218" t="str">
            <v>4221</v>
          </cell>
          <cell r="H218" t="str">
            <v>R0206421</v>
          </cell>
          <cell r="I218">
            <v>0</v>
          </cell>
          <cell r="J218" t="str">
            <v>Uredska oprema i namještaj</v>
          </cell>
          <cell r="L218">
            <v>0</v>
          </cell>
          <cell r="M218">
            <v>1000</v>
          </cell>
          <cell r="N218">
            <v>0</v>
          </cell>
          <cell r="O218">
            <v>0</v>
          </cell>
          <cell r="P218">
            <v>0</v>
          </cell>
          <cell r="Q218"/>
          <cell r="R218"/>
          <cell r="S218" t="str">
            <v>K212401521</v>
          </cell>
          <cell r="T218" t="str">
            <v>4221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</row>
        <row r="219">
          <cell r="A219" t="str">
            <v>K2124015214223</v>
          </cell>
          <cell r="B219" t="str">
            <v>4</v>
          </cell>
          <cell r="C219" t="str">
            <v>42</v>
          </cell>
          <cell r="D219" t="str">
            <v>422</v>
          </cell>
          <cell r="E219" t="str">
            <v>K212401</v>
          </cell>
          <cell r="F219">
            <v>521</v>
          </cell>
          <cell r="G219" t="str">
            <v>4223</v>
          </cell>
          <cell r="H219" t="str">
            <v>R9021673</v>
          </cell>
          <cell r="I219">
            <v>0</v>
          </cell>
          <cell r="J219" t="str">
            <v>Oprema za održavanje i zaštitu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/>
          <cell r="R219"/>
          <cell r="S219" t="str">
            <v>K212401521</v>
          </cell>
          <cell r="T219" t="str">
            <v>4223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</row>
        <row r="220">
          <cell r="A220" t="str">
            <v>K2124015214241</v>
          </cell>
          <cell r="B220" t="str">
            <v>4</v>
          </cell>
          <cell r="C220" t="str">
            <v>42</v>
          </cell>
          <cell r="D220" t="str">
            <v>424</v>
          </cell>
          <cell r="E220" t="str">
            <v>K212401</v>
          </cell>
          <cell r="F220">
            <v>521</v>
          </cell>
          <cell r="G220" t="str">
            <v>4241</v>
          </cell>
          <cell r="H220" t="str">
            <v>R0206422</v>
          </cell>
          <cell r="I220" t="str">
            <v>PR00050</v>
          </cell>
          <cell r="J220" t="str">
            <v>Knjige</v>
          </cell>
          <cell r="L220">
            <v>882000</v>
          </cell>
          <cell r="M220">
            <v>724700</v>
          </cell>
          <cell r="N220">
            <v>882000</v>
          </cell>
          <cell r="O220">
            <v>138417.60999999999</v>
          </cell>
          <cell r="P220">
            <v>138417.60999999999</v>
          </cell>
          <cell r="Q220"/>
          <cell r="R220"/>
          <cell r="S220" t="str">
            <v>K212401521</v>
          </cell>
          <cell r="T220" t="str">
            <v>4241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</row>
        <row r="221">
          <cell r="G221" t="str">
            <v>Izvor  5.4.1 POMOĆI OD MEĐUNARODNIH ORGANIZACIJA-PK</v>
          </cell>
          <cell r="H221"/>
          <cell r="I221"/>
          <cell r="J221"/>
          <cell r="K221" t="str">
            <v>( 521, 541 )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/>
          <cell r="T221"/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</row>
        <row r="222">
          <cell r="A222" t="str">
            <v>K2124015414221</v>
          </cell>
          <cell r="B222" t="str">
            <v>4</v>
          </cell>
          <cell r="C222" t="str">
            <v>42</v>
          </cell>
          <cell r="D222" t="str">
            <v>422</v>
          </cell>
          <cell r="E222" t="str">
            <v>K212401</v>
          </cell>
          <cell r="F222">
            <v>541</v>
          </cell>
          <cell r="G222" t="str">
            <v>4221</v>
          </cell>
          <cell r="H222" t="str">
            <v>R0206457</v>
          </cell>
          <cell r="I222">
            <v>0</v>
          </cell>
          <cell r="J222" t="str">
            <v>Uredska oprema i namještaj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/>
          <cell r="R222">
            <v>0</v>
          </cell>
          <cell r="S222" t="str">
            <v>K212401541</v>
          </cell>
          <cell r="T222" t="str">
            <v>4221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</row>
        <row r="223">
          <cell r="A223" t="str">
            <v>K2124015414241</v>
          </cell>
          <cell r="B223" t="str">
            <v>4</v>
          </cell>
          <cell r="C223" t="str">
            <v>42</v>
          </cell>
          <cell r="D223" t="str">
            <v>424</v>
          </cell>
          <cell r="E223" t="str">
            <v>K212401</v>
          </cell>
          <cell r="F223">
            <v>541</v>
          </cell>
          <cell r="G223" t="str">
            <v>4241</v>
          </cell>
          <cell r="H223" t="str">
            <v>R0206458</v>
          </cell>
          <cell r="I223">
            <v>0</v>
          </cell>
          <cell r="J223" t="str">
            <v>Knjige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/>
          <cell r="R223">
            <v>0</v>
          </cell>
          <cell r="S223" t="str">
            <v>K212401541</v>
          </cell>
          <cell r="T223" t="str">
            <v>4241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</row>
        <row r="224">
          <cell r="G224" t="str">
            <v>Izvor  6.1.1 DONACIJE-PRORAČUNSKI KORISNICI</v>
          </cell>
          <cell r="H224"/>
          <cell r="I224"/>
          <cell r="J224"/>
          <cell r="K224" t="str">
            <v>( 614 )</v>
          </cell>
          <cell r="L224">
            <v>100000</v>
          </cell>
          <cell r="M224">
            <v>100000</v>
          </cell>
          <cell r="N224">
            <v>100000</v>
          </cell>
          <cell r="O224">
            <v>0</v>
          </cell>
          <cell r="P224">
            <v>0</v>
          </cell>
          <cell r="Q224">
            <v>0</v>
          </cell>
          <cell r="R224">
            <v>100000</v>
          </cell>
          <cell r="S224"/>
          <cell r="T224"/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</row>
        <row r="225">
          <cell r="A225" t="str">
            <v>K2124016114221</v>
          </cell>
          <cell r="B225" t="str">
            <v>4</v>
          </cell>
          <cell r="C225" t="str">
            <v>42</v>
          </cell>
          <cell r="D225" t="str">
            <v>422</v>
          </cell>
          <cell r="E225" t="str">
            <v>K212401</v>
          </cell>
          <cell r="F225">
            <v>611</v>
          </cell>
          <cell r="G225" t="str">
            <v>4221</v>
          </cell>
          <cell r="H225" t="str">
            <v>R9025341</v>
          </cell>
          <cell r="I225">
            <v>0</v>
          </cell>
          <cell r="J225" t="str">
            <v>Uredska oprema i namještaj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/>
          <cell r="R225">
            <v>0</v>
          </cell>
          <cell r="S225" t="str">
            <v>K212401611</v>
          </cell>
          <cell r="T225" t="str">
            <v>4221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</row>
        <row r="226">
          <cell r="A226" t="str">
            <v>K2124016114241</v>
          </cell>
          <cell r="B226" t="str">
            <v>4</v>
          </cell>
          <cell r="C226" t="str">
            <v>42</v>
          </cell>
          <cell r="D226" t="str">
            <v>424</v>
          </cell>
          <cell r="E226" t="str">
            <v>K212401</v>
          </cell>
          <cell r="F226">
            <v>611</v>
          </cell>
          <cell r="G226" t="str">
            <v>4241</v>
          </cell>
          <cell r="H226" t="str">
            <v>R9017802</v>
          </cell>
          <cell r="I226" t="str">
            <v>PR00339</v>
          </cell>
          <cell r="J226" t="str">
            <v>Knjige</v>
          </cell>
          <cell r="L226">
            <v>100000</v>
          </cell>
          <cell r="M226">
            <v>100000</v>
          </cell>
          <cell r="N226">
            <v>100000</v>
          </cell>
          <cell r="O226">
            <v>0</v>
          </cell>
          <cell r="P226">
            <v>0</v>
          </cell>
          <cell r="Q226"/>
          <cell r="R226">
            <v>100000</v>
          </cell>
          <cell r="S226" t="str">
            <v>K212401611</v>
          </cell>
          <cell r="T226" t="str">
            <v>4241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</row>
        <row r="227">
          <cell r="G227" t="str">
            <v>Izvor  7.1.1 PRIHODI OD PRODAJE ILI ZAMJ. NEF. IMOVINE I NAKN. S NASL.-PK</v>
          </cell>
          <cell r="H227"/>
          <cell r="I227"/>
          <cell r="J227"/>
          <cell r="K227" t="str">
            <v>( 711 )</v>
          </cell>
          <cell r="L227">
            <v>1300</v>
          </cell>
          <cell r="M227">
            <v>1300</v>
          </cell>
          <cell r="N227">
            <v>1300</v>
          </cell>
          <cell r="O227">
            <v>0</v>
          </cell>
          <cell r="P227">
            <v>0</v>
          </cell>
          <cell r="Q227">
            <v>0</v>
          </cell>
          <cell r="R227">
            <v>1300</v>
          </cell>
          <cell r="S227"/>
          <cell r="T227"/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</row>
        <row r="228">
          <cell r="A228" t="str">
            <v>K2124017114221</v>
          </cell>
          <cell r="B228" t="str">
            <v>4</v>
          </cell>
          <cell r="C228" t="str">
            <v>42</v>
          </cell>
          <cell r="D228" t="str">
            <v>422</v>
          </cell>
          <cell r="E228" t="str">
            <v>K212401</v>
          </cell>
          <cell r="F228">
            <v>711</v>
          </cell>
          <cell r="G228" t="str">
            <v>4221</v>
          </cell>
          <cell r="H228" t="str">
            <v>R0205773</v>
          </cell>
          <cell r="I228" t="str">
            <v>PR00337</v>
          </cell>
          <cell r="J228" t="str">
            <v>Uredska oprema i namještaj</v>
          </cell>
          <cell r="L228">
            <v>1300</v>
          </cell>
          <cell r="M228">
            <v>1300</v>
          </cell>
          <cell r="N228">
            <v>1300</v>
          </cell>
          <cell r="O228">
            <v>0</v>
          </cell>
          <cell r="P228">
            <v>0</v>
          </cell>
          <cell r="Q228"/>
          <cell r="R228">
            <v>1300</v>
          </cell>
          <cell r="S228" t="str">
            <v>K212401711</v>
          </cell>
          <cell r="T228" t="str">
            <v>4221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pisZahtjevaRviRazdobljaSumira"/>
    </sheetNames>
    <sheetDataSet>
      <sheetData sheetId="0">
        <row r="43">
          <cell r="A43" t="str">
            <v>3111</v>
          </cell>
          <cell r="B43" t="str">
            <v>Plaće za redovan rad</v>
          </cell>
          <cell r="C43">
            <v>13944200</v>
          </cell>
          <cell r="D43">
            <v>13971090.310000001</v>
          </cell>
          <cell r="E43">
            <v>0</v>
          </cell>
          <cell r="F43">
            <v>13971090.310000001</v>
          </cell>
          <cell r="G43">
            <v>-26890.31</v>
          </cell>
        </row>
        <row r="44">
          <cell r="A44" t="str">
            <v>3121</v>
          </cell>
          <cell r="B44" t="str">
            <v>Ostali rashodi za zaposlene</v>
          </cell>
          <cell r="C44">
            <v>899400</v>
          </cell>
          <cell r="D44">
            <v>1259581.3899999999</v>
          </cell>
          <cell r="E44">
            <v>0</v>
          </cell>
          <cell r="F44">
            <v>1259581.3899999999</v>
          </cell>
          <cell r="G44">
            <v>-360181.39</v>
          </cell>
        </row>
        <row r="45">
          <cell r="A45" t="str">
            <v>3132</v>
          </cell>
          <cell r="B45" t="str">
            <v>Doprinosi za obvezno zdravstveno osiguranje</v>
          </cell>
          <cell r="C45">
            <v>2231900</v>
          </cell>
          <cell r="D45">
            <v>2236686.7200000002</v>
          </cell>
          <cell r="E45">
            <v>0</v>
          </cell>
          <cell r="F45">
            <v>2236686.7200000002</v>
          </cell>
          <cell r="G45">
            <v>-4786.72</v>
          </cell>
        </row>
        <row r="46">
          <cell r="A46" t="str">
            <v>3212</v>
          </cell>
          <cell r="B46" t="str">
            <v>Naknade za prijevoz, za rad na terenu i odvojeni život</v>
          </cell>
          <cell r="C46">
            <v>321000</v>
          </cell>
          <cell r="D46">
            <v>297983.45</v>
          </cell>
          <cell r="E46">
            <v>0</v>
          </cell>
          <cell r="F46">
            <v>297983.45</v>
          </cell>
          <cell r="G46">
            <v>23016.55</v>
          </cell>
        </row>
        <row r="47">
          <cell r="A47" t="str">
            <v>3213</v>
          </cell>
          <cell r="B47" t="str">
            <v>Stručno usavršavanje zaposlenika</v>
          </cell>
          <cell r="C47">
            <v>25000</v>
          </cell>
          <cell r="D47">
            <v>27626.21</v>
          </cell>
          <cell r="E47">
            <v>0</v>
          </cell>
          <cell r="F47">
            <v>27626.21</v>
          </cell>
          <cell r="G47">
            <v>-2626.21</v>
          </cell>
        </row>
        <row r="48">
          <cell r="A48" t="str">
            <v>3221</v>
          </cell>
          <cell r="B48" t="str">
            <v>Uredski materijal i ostali materijalni rashodi</v>
          </cell>
          <cell r="C48">
            <v>4500</v>
          </cell>
          <cell r="D48">
            <v>4585.75</v>
          </cell>
          <cell r="E48">
            <v>0</v>
          </cell>
          <cell r="F48">
            <v>4585.75</v>
          </cell>
          <cell r="G48">
            <v>-85.75</v>
          </cell>
        </row>
        <row r="49">
          <cell r="A49" t="str">
            <v>3222</v>
          </cell>
          <cell r="B49" t="str">
            <v>Materijal i sirovine</v>
          </cell>
          <cell r="C49">
            <v>43400</v>
          </cell>
          <cell r="D49">
            <v>7878.08</v>
          </cell>
          <cell r="E49">
            <v>0</v>
          </cell>
          <cell r="F49">
            <v>7878.08</v>
          </cell>
          <cell r="G49">
            <v>35521.919999999998</v>
          </cell>
        </row>
        <row r="50">
          <cell r="A50" t="str">
            <v>3223</v>
          </cell>
          <cell r="B50" t="str">
            <v>Energija</v>
          </cell>
          <cell r="C50">
            <v>446900</v>
          </cell>
          <cell r="D50">
            <v>407791.85</v>
          </cell>
          <cell r="E50">
            <v>0</v>
          </cell>
          <cell r="F50">
            <v>407791.85</v>
          </cell>
          <cell r="G50">
            <v>39108.15</v>
          </cell>
        </row>
        <row r="51">
          <cell r="A51" t="str">
            <v>3224</v>
          </cell>
          <cell r="B51" t="str">
            <v>Materijal i dijelovi za tekuće i investicijsko održavanje</v>
          </cell>
          <cell r="C51">
            <v>5000</v>
          </cell>
          <cell r="D51">
            <v>4030.8</v>
          </cell>
          <cell r="E51">
            <v>0</v>
          </cell>
          <cell r="F51">
            <v>4030.8</v>
          </cell>
          <cell r="G51">
            <v>969.2</v>
          </cell>
        </row>
        <row r="52">
          <cell r="A52" t="str">
            <v>3225</v>
          </cell>
          <cell r="B52" t="str">
            <v>Sitni inventar i autogume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A53" t="str">
            <v>3231</v>
          </cell>
          <cell r="B53" t="str">
            <v>Usluge telefona, interneta, pošte i prijevoza</v>
          </cell>
          <cell r="C53">
            <v>4000</v>
          </cell>
          <cell r="D53">
            <v>4000</v>
          </cell>
          <cell r="E53">
            <v>0</v>
          </cell>
          <cell r="F53">
            <v>4000</v>
          </cell>
          <cell r="G53">
            <v>0</v>
          </cell>
        </row>
        <row r="54">
          <cell r="A54" t="str">
            <v>3232</v>
          </cell>
          <cell r="B54" t="str">
            <v>Usluge tekućeg i investicijskog  održavanja</v>
          </cell>
          <cell r="C54">
            <v>10000</v>
          </cell>
          <cell r="D54">
            <v>10292.129999999999</v>
          </cell>
          <cell r="E54">
            <v>0</v>
          </cell>
          <cell r="F54">
            <v>10292.129999999999</v>
          </cell>
          <cell r="G54">
            <v>-292.13</v>
          </cell>
        </row>
        <row r="55">
          <cell r="A55" t="str">
            <v>3233</v>
          </cell>
          <cell r="B55" t="str">
            <v>Usluge promidžbe i informiranja</v>
          </cell>
          <cell r="C55">
            <v>30000</v>
          </cell>
          <cell r="D55">
            <v>25094.49</v>
          </cell>
          <cell r="E55">
            <v>0</v>
          </cell>
          <cell r="F55">
            <v>25094.49</v>
          </cell>
          <cell r="G55">
            <v>4905.51</v>
          </cell>
        </row>
        <row r="56">
          <cell r="A56" t="str">
            <v>3234</v>
          </cell>
          <cell r="B56" t="str">
            <v>Komunalne usluge</v>
          </cell>
          <cell r="C56">
            <v>134300</v>
          </cell>
          <cell r="D56">
            <v>141678.94</v>
          </cell>
          <cell r="E56">
            <v>0</v>
          </cell>
          <cell r="F56">
            <v>141678.94</v>
          </cell>
          <cell r="G56">
            <v>-7378.94</v>
          </cell>
        </row>
        <row r="57">
          <cell r="A57" t="str">
            <v>3235</v>
          </cell>
          <cell r="B57" t="str">
            <v>Zakupnine i najamnine</v>
          </cell>
          <cell r="C57">
            <v>117500</v>
          </cell>
          <cell r="D57">
            <v>118372.66</v>
          </cell>
          <cell r="E57">
            <v>0</v>
          </cell>
          <cell r="F57">
            <v>118372.66</v>
          </cell>
          <cell r="G57">
            <v>-872.66</v>
          </cell>
        </row>
        <row r="58">
          <cell r="A58" t="str">
            <v>3236</v>
          </cell>
          <cell r="B58" t="str">
            <v>Zdravstvene i veterinarske usluge</v>
          </cell>
          <cell r="C58">
            <v>54000</v>
          </cell>
          <cell r="D58">
            <v>25415</v>
          </cell>
          <cell r="E58">
            <v>0</v>
          </cell>
          <cell r="F58">
            <v>25415</v>
          </cell>
          <cell r="G58">
            <v>28585</v>
          </cell>
        </row>
        <row r="59">
          <cell r="A59" t="str">
            <v>3237</v>
          </cell>
          <cell r="B59" t="str">
            <v>Intelektualne i osobne usluge</v>
          </cell>
          <cell r="C59">
            <v>95600</v>
          </cell>
          <cell r="D59">
            <v>107777.74</v>
          </cell>
          <cell r="E59">
            <v>0</v>
          </cell>
          <cell r="F59">
            <v>107777.74</v>
          </cell>
          <cell r="G59">
            <v>-12177.74</v>
          </cell>
        </row>
        <row r="60">
          <cell r="A60" t="str">
            <v>3238</v>
          </cell>
          <cell r="B60" t="str">
            <v>Računalne usluge</v>
          </cell>
          <cell r="C60">
            <v>50000</v>
          </cell>
          <cell r="D60">
            <v>50000</v>
          </cell>
          <cell r="E60">
            <v>0</v>
          </cell>
          <cell r="F60">
            <v>50000</v>
          </cell>
          <cell r="G60">
            <v>0</v>
          </cell>
        </row>
        <row r="61">
          <cell r="A61" t="str">
            <v>3291</v>
          </cell>
          <cell r="B61" t="str">
            <v>Naknade za rad predstavničkih i izvršnih tijela, povjerenstava i slično</v>
          </cell>
          <cell r="C61">
            <v>4000</v>
          </cell>
          <cell r="D61">
            <v>5921.6</v>
          </cell>
          <cell r="E61">
            <v>0</v>
          </cell>
          <cell r="F61">
            <v>5921.6</v>
          </cell>
          <cell r="G61">
            <v>-1921.6</v>
          </cell>
        </row>
        <row r="62">
          <cell r="A62" t="str">
            <v>3292</v>
          </cell>
          <cell r="B62" t="str">
            <v>Premije osiguranja</v>
          </cell>
          <cell r="C62">
            <v>25000</v>
          </cell>
          <cell r="D62">
            <v>24824.87</v>
          </cell>
          <cell r="E62">
            <v>0</v>
          </cell>
          <cell r="F62">
            <v>24824.87</v>
          </cell>
          <cell r="G62">
            <v>175.13</v>
          </cell>
        </row>
        <row r="63">
          <cell r="A63" t="str">
            <v>3294</v>
          </cell>
          <cell r="B63" t="str">
            <v>Članarine i norme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A64" t="str">
            <v>3295</v>
          </cell>
          <cell r="B64" t="str">
            <v>Pristojbe i naknade</v>
          </cell>
          <cell r="C64">
            <v>1000</v>
          </cell>
          <cell r="D64">
            <v>14618</v>
          </cell>
          <cell r="E64">
            <v>0</v>
          </cell>
          <cell r="F64">
            <v>14618</v>
          </cell>
          <cell r="G64">
            <v>-13618</v>
          </cell>
        </row>
        <row r="65">
          <cell r="A65" t="str">
            <v>3431</v>
          </cell>
          <cell r="B65" t="str">
            <v>Bankarske usluge i usluge platnog prometa</v>
          </cell>
          <cell r="C65">
            <v>1000</v>
          </cell>
          <cell r="D65">
            <v>1000</v>
          </cell>
          <cell r="E65">
            <v>0</v>
          </cell>
          <cell r="F65">
            <v>1000</v>
          </cell>
          <cell r="G65">
            <v>0</v>
          </cell>
        </row>
        <row r="66">
          <cell r="A66" t="str">
            <v>3694</v>
          </cell>
          <cell r="B66" t="str">
            <v>Kapitalni prijenosi između proračunskih korisnika istog proračuna temeljem prijenosa EU sredstava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8">
          <cell r="A68" t="str">
            <v>3239</v>
          </cell>
          <cell r="B68" t="str">
            <v>Ostale usluge</v>
          </cell>
          <cell r="C68">
            <v>18300</v>
          </cell>
          <cell r="D68">
            <v>8389.26</v>
          </cell>
          <cell r="E68">
            <v>0</v>
          </cell>
          <cell r="F68">
            <v>8389.26</v>
          </cell>
          <cell r="G68">
            <v>9910.74</v>
          </cell>
        </row>
        <row r="70">
          <cell r="A70" t="str">
            <v>3211</v>
          </cell>
          <cell r="B70" t="str">
            <v>Službena putovanja</v>
          </cell>
          <cell r="C70">
            <v>12000</v>
          </cell>
          <cell r="D70">
            <v>21376.04</v>
          </cell>
          <cell r="E70">
            <v>0</v>
          </cell>
          <cell r="F70">
            <v>21376.04</v>
          </cell>
          <cell r="G70">
            <v>-9376.0400000000009</v>
          </cell>
        </row>
        <row r="71">
          <cell r="A71">
            <v>3212</v>
          </cell>
          <cell r="B71" t="str">
            <v>Naknade za prijevoz, za rad na terenu i odvojeni život</v>
          </cell>
          <cell r="C71">
            <v>0</v>
          </cell>
          <cell r="D71">
            <v>9.4499999999999993</v>
          </cell>
          <cell r="E71">
            <v>0</v>
          </cell>
          <cell r="F71">
            <v>9.4499999999999993</v>
          </cell>
          <cell r="G71">
            <v>-9.4499999999999993</v>
          </cell>
        </row>
        <row r="72">
          <cell r="A72" t="str">
            <v>3213</v>
          </cell>
          <cell r="B72" t="str">
            <v>Stručno usavršavanje zaposlenika</v>
          </cell>
          <cell r="C72">
            <v>5000</v>
          </cell>
          <cell r="D72">
            <v>221.43</v>
          </cell>
          <cell r="E72">
            <v>0</v>
          </cell>
          <cell r="F72">
            <v>221.43</v>
          </cell>
          <cell r="G72">
            <v>4778.57</v>
          </cell>
        </row>
        <row r="73">
          <cell r="A73" t="str">
            <v>3221</v>
          </cell>
          <cell r="B73" t="str">
            <v>Uredski materijal i ostali materijalni rashodi</v>
          </cell>
          <cell r="C73">
            <v>73000</v>
          </cell>
          <cell r="D73">
            <v>62661.62</v>
          </cell>
          <cell r="E73">
            <v>0</v>
          </cell>
          <cell r="F73">
            <v>62661.62</v>
          </cell>
          <cell r="G73">
            <v>10338.379999999999</v>
          </cell>
        </row>
        <row r="74">
          <cell r="A74" t="str">
            <v>3222</v>
          </cell>
          <cell r="B74" t="str">
            <v>Materijal i sirovine</v>
          </cell>
          <cell r="C74">
            <v>64000</v>
          </cell>
          <cell r="D74">
            <v>44620.61</v>
          </cell>
          <cell r="E74">
            <v>0</v>
          </cell>
          <cell r="F74">
            <v>44620.61</v>
          </cell>
          <cell r="G74">
            <v>19379.39</v>
          </cell>
        </row>
        <row r="75">
          <cell r="A75">
            <v>3223</v>
          </cell>
          <cell r="B75" t="str">
            <v>Energija</v>
          </cell>
          <cell r="C75">
            <v>0</v>
          </cell>
          <cell r="D75">
            <v>4.59</v>
          </cell>
          <cell r="E75">
            <v>0</v>
          </cell>
          <cell r="F75">
            <v>4.59</v>
          </cell>
          <cell r="G75">
            <v>-4.59</v>
          </cell>
        </row>
        <row r="76">
          <cell r="A76" t="str">
            <v>3224</v>
          </cell>
          <cell r="B76" t="str">
            <v>Materijal i dijelovi za tekuće i investicijsko održavanje</v>
          </cell>
          <cell r="C76">
            <v>33000</v>
          </cell>
          <cell r="D76">
            <v>21583.88</v>
          </cell>
          <cell r="E76">
            <v>0</v>
          </cell>
          <cell r="F76">
            <v>21583.88</v>
          </cell>
          <cell r="G76">
            <v>11416.12</v>
          </cell>
        </row>
        <row r="77">
          <cell r="A77" t="str">
            <v>3225</v>
          </cell>
          <cell r="B77" t="str">
            <v>Sitni inventar i autogume</v>
          </cell>
          <cell r="C77">
            <v>5000</v>
          </cell>
          <cell r="D77">
            <v>6176.81</v>
          </cell>
          <cell r="E77">
            <v>0</v>
          </cell>
          <cell r="F77">
            <v>6176.81</v>
          </cell>
          <cell r="G77">
            <v>-1176.81</v>
          </cell>
        </row>
        <row r="78">
          <cell r="A78" t="str">
            <v>3227</v>
          </cell>
          <cell r="B78" t="str">
            <v>Službena, radna i zaštitna odjeća i obuća</v>
          </cell>
          <cell r="C78">
            <v>4000</v>
          </cell>
          <cell r="D78">
            <v>2740.27</v>
          </cell>
          <cell r="E78">
            <v>0</v>
          </cell>
          <cell r="F78">
            <v>2740.27</v>
          </cell>
          <cell r="G78">
            <v>1259.73</v>
          </cell>
        </row>
        <row r="79">
          <cell r="A79" t="str">
            <v>3231</v>
          </cell>
          <cell r="B79" t="str">
            <v>Usluge telefona, interneta, pošte i prijevoza</v>
          </cell>
          <cell r="C79">
            <v>86000</v>
          </cell>
          <cell r="D79">
            <v>63902.17</v>
          </cell>
          <cell r="E79">
            <v>0</v>
          </cell>
          <cell r="F79">
            <v>63902.17</v>
          </cell>
          <cell r="G79">
            <v>22097.83</v>
          </cell>
        </row>
        <row r="80">
          <cell r="A80" t="str">
            <v>3232</v>
          </cell>
          <cell r="B80" t="str">
            <v>Usluge tekućeg i investicijskog  održavanja</v>
          </cell>
          <cell r="C80">
            <v>167000</v>
          </cell>
          <cell r="D80">
            <v>113611.79</v>
          </cell>
          <cell r="E80">
            <v>0</v>
          </cell>
          <cell r="F80">
            <v>113611.79</v>
          </cell>
          <cell r="G80">
            <v>53388.21</v>
          </cell>
        </row>
        <row r="81">
          <cell r="A81" t="str">
            <v>3233</v>
          </cell>
          <cell r="B81" t="str">
            <v>Usluge promidžbe i informiranja</v>
          </cell>
          <cell r="C81">
            <v>10000</v>
          </cell>
          <cell r="D81">
            <v>778.41</v>
          </cell>
          <cell r="E81">
            <v>0</v>
          </cell>
          <cell r="F81">
            <v>778.41</v>
          </cell>
          <cell r="G81">
            <v>9221.59</v>
          </cell>
        </row>
        <row r="82">
          <cell r="A82" t="str">
            <v>3234</v>
          </cell>
          <cell r="B82" t="str">
            <v>Komunalne usluge</v>
          </cell>
          <cell r="C82">
            <v>20000</v>
          </cell>
          <cell r="D82">
            <v>21849.63</v>
          </cell>
          <cell r="E82">
            <v>0</v>
          </cell>
          <cell r="F82">
            <v>21849.63</v>
          </cell>
          <cell r="G82">
            <v>-1849.63</v>
          </cell>
        </row>
        <row r="83">
          <cell r="A83" t="str">
            <v>3235</v>
          </cell>
          <cell r="B83" t="str">
            <v>Zakupnine i najamnine</v>
          </cell>
          <cell r="C83">
            <v>125000</v>
          </cell>
          <cell r="D83">
            <v>94981.1</v>
          </cell>
          <cell r="E83">
            <v>0</v>
          </cell>
          <cell r="F83">
            <v>94981.1</v>
          </cell>
          <cell r="G83">
            <v>30018.9</v>
          </cell>
        </row>
        <row r="84">
          <cell r="A84" t="str">
            <v>3236</v>
          </cell>
          <cell r="B84" t="str">
            <v>Zdravstvene i veterinarske usluge</v>
          </cell>
          <cell r="C84">
            <v>2000</v>
          </cell>
          <cell r="D84">
            <v>468.52</v>
          </cell>
          <cell r="E84">
            <v>0</v>
          </cell>
          <cell r="F84">
            <v>468.52</v>
          </cell>
          <cell r="G84">
            <v>1531.48</v>
          </cell>
        </row>
        <row r="85">
          <cell r="A85" t="str">
            <v>3237</v>
          </cell>
          <cell r="B85" t="str">
            <v>Intelektualne i osobne usluge</v>
          </cell>
          <cell r="C85">
            <v>48600</v>
          </cell>
          <cell r="D85">
            <v>40277.14</v>
          </cell>
          <cell r="E85">
            <v>0</v>
          </cell>
          <cell r="F85">
            <v>40277.14</v>
          </cell>
          <cell r="G85">
            <v>8322.86</v>
          </cell>
        </row>
        <row r="86">
          <cell r="A86" t="str">
            <v>3238</v>
          </cell>
          <cell r="B86" t="str">
            <v>Računalne usluge</v>
          </cell>
          <cell r="C86">
            <v>125000</v>
          </cell>
          <cell r="D86">
            <v>117616.62</v>
          </cell>
          <cell r="E86">
            <v>0</v>
          </cell>
          <cell r="F86">
            <v>117616.62</v>
          </cell>
          <cell r="G86">
            <v>7383.38</v>
          </cell>
        </row>
        <row r="87">
          <cell r="A87" t="str">
            <v>3239</v>
          </cell>
          <cell r="B87" t="str">
            <v>Ostale usluge</v>
          </cell>
          <cell r="C87">
            <v>126200</v>
          </cell>
          <cell r="D87">
            <v>152906.18</v>
          </cell>
          <cell r="E87">
            <v>0</v>
          </cell>
          <cell r="F87">
            <v>152906.18</v>
          </cell>
          <cell r="G87">
            <v>-26706.18</v>
          </cell>
        </row>
        <row r="88">
          <cell r="A88" t="str">
            <v>3241</v>
          </cell>
          <cell r="B88" t="str">
            <v>Naknade troškova osobama izvan radnog odnosa</v>
          </cell>
          <cell r="C88">
            <v>500</v>
          </cell>
          <cell r="D88">
            <v>0</v>
          </cell>
          <cell r="E88">
            <v>0</v>
          </cell>
          <cell r="F88">
            <v>0</v>
          </cell>
          <cell r="G88">
            <v>500</v>
          </cell>
        </row>
        <row r="89">
          <cell r="A89" t="str">
            <v>3292</v>
          </cell>
          <cell r="B89" t="str">
            <v>Premije osiguranja</v>
          </cell>
          <cell r="C89">
            <v>4000</v>
          </cell>
          <cell r="D89">
            <v>3858.64</v>
          </cell>
          <cell r="E89">
            <v>0</v>
          </cell>
          <cell r="F89">
            <v>3858.64</v>
          </cell>
          <cell r="G89">
            <v>141.36000000000001</v>
          </cell>
        </row>
        <row r="90">
          <cell r="A90" t="str">
            <v>3293</v>
          </cell>
          <cell r="B90" t="str">
            <v>Reprezentacija</v>
          </cell>
          <cell r="C90">
            <v>9000</v>
          </cell>
          <cell r="D90">
            <v>20831.82</v>
          </cell>
          <cell r="E90">
            <v>0</v>
          </cell>
          <cell r="F90">
            <v>20831.82</v>
          </cell>
          <cell r="G90">
            <v>-11831.82</v>
          </cell>
        </row>
        <row r="91">
          <cell r="A91" t="str">
            <v>3294</v>
          </cell>
          <cell r="B91" t="str">
            <v>Članarine i norme</v>
          </cell>
          <cell r="C91">
            <v>3300</v>
          </cell>
          <cell r="D91">
            <v>2984.94</v>
          </cell>
          <cell r="E91">
            <v>0</v>
          </cell>
          <cell r="F91">
            <v>2984.94</v>
          </cell>
          <cell r="G91">
            <v>315.06</v>
          </cell>
        </row>
        <row r="92">
          <cell r="A92" t="str">
            <v>3295</v>
          </cell>
          <cell r="B92" t="str">
            <v>Pristojbe i naknade</v>
          </cell>
          <cell r="C92">
            <v>22500</v>
          </cell>
          <cell r="D92">
            <v>5838.5</v>
          </cell>
          <cell r="E92">
            <v>0</v>
          </cell>
          <cell r="F92">
            <v>5838.5</v>
          </cell>
          <cell r="G92">
            <v>16661.5</v>
          </cell>
        </row>
        <row r="93">
          <cell r="A93" t="str">
            <v>3299</v>
          </cell>
          <cell r="B93" t="str">
            <v>Ostali nespomenuti rashodi poslovanja</v>
          </cell>
          <cell r="C93">
            <v>4000</v>
          </cell>
          <cell r="D93">
            <v>4723.58</v>
          </cell>
          <cell r="E93">
            <v>0</v>
          </cell>
          <cell r="F93">
            <v>4723.58</v>
          </cell>
          <cell r="G93">
            <v>-723.58</v>
          </cell>
        </row>
        <row r="94">
          <cell r="A94" t="str">
            <v>3431</v>
          </cell>
          <cell r="B94" t="str">
            <v>Bankarske usluge i usluge platnog prometa</v>
          </cell>
          <cell r="C94">
            <v>13600</v>
          </cell>
          <cell r="D94">
            <v>19637.03</v>
          </cell>
          <cell r="E94">
            <v>0</v>
          </cell>
          <cell r="F94">
            <v>19637.03</v>
          </cell>
          <cell r="G94">
            <v>-6037.03</v>
          </cell>
        </row>
        <row r="95">
          <cell r="A95" t="str">
            <v>3433</v>
          </cell>
          <cell r="B95" t="str">
            <v>Zatezne kamate</v>
          </cell>
          <cell r="C95">
            <v>600</v>
          </cell>
          <cell r="D95">
            <v>637.32000000000005</v>
          </cell>
          <cell r="E95">
            <v>0</v>
          </cell>
          <cell r="F95">
            <v>637.32000000000005</v>
          </cell>
          <cell r="G95">
            <v>-37.32</v>
          </cell>
        </row>
        <row r="97">
          <cell r="A97" t="str">
            <v>3111</v>
          </cell>
          <cell r="B97" t="str">
            <v>Plaće za redovan rad</v>
          </cell>
          <cell r="C97">
            <v>504200</v>
          </cell>
          <cell r="D97">
            <v>608866.72</v>
          </cell>
          <cell r="E97">
            <v>0</v>
          </cell>
          <cell r="F97">
            <v>608866.72</v>
          </cell>
          <cell r="G97">
            <v>-104666.72</v>
          </cell>
        </row>
        <row r="98">
          <cell r="A98" t="str">
            <v>3121</v>
          </cell>
          <cell r="B98" t="str">
            <v>Ostali rashodi za zaposlene</v>
          </cell>
          <cell r="C98">
            <v>20000</v>
          </cell>
          <cell r="D98">
            <v>53176.68</v>
          </cell>
          <cell r="E98">
            <v>0</v>
          </cell>
          <cell r="F98">
            <v>53176.68</v>
          </cell>
          <cell r="G98">
            <v>-33176.68</v>
          </cell>
        </row>
        <row r="99">
          <cell r="A99" t="str">
            <v>3132</v>
          </cell>
          <cell r="B99" t="str">
            <v>Doprinosi za obvezno zdravstveno osiguranje</v>
          </cell>
          <cell r="C99">
            <v>80300</v>
          </cell>
          <cell r="D99">
            <v>99000.89</v>
          </cell>
          <cell r="E99">
            <v>0</v>
          </cell>
          <cell r="F99">
            <v>99000.89</v>
          </cell>
          <cell r="G99">
            <v>-18700.89</v>
          </cell>
        </row>
        <row r="100">
          <cell r="A100" t="str">
            <v>3211</v>
          </cell>
          <cell r="B100" t="str">
            <v>Službena putovanja</v>
          </cell>
          <cell r="C100">
            <v>1600</v>
          </cell>
          <cell r="D100">
            <v>2373.48</v>
          </cell>
          <cell r="E100">
            <v>0</v>
          </cell>
          <cell r="F100">
            <v>2373.48</v>
          </cell>
          <cell r="G100">
            <v>-773.48</v>
          </cell>
        </row>
        <row r="101">
          <cell r="A101" t="str">
            <v>3212</v>
          </cell>
          <cell r="B101" t="str">
            <v>Naknade za prijevoz, za rad na terenu i odvojeni život</v>
          </cell>
          <cell r="C101">
            <v>12600</v>
          </cell>
          <cell r="D101">
            <v>12083.18</v>
          </cell>
          <cell r="E101">
            <v>0</v>
          </cell>
          <cell r="F101">
            <v>12083.18</v>
          </cell>
          <cell r="G101">
            <v>516.82000000000005</v>
          </cell>
        </row>
        <row r="102">
          <cell r="A102" t="str">
            <v>3213</v>
          </cell>
          <cell r="B102" t="str">
            <v>Stručno usavršavanje zaposlenika</v>
          </cell>
          <cell r="C102">
            <v>600</v>
          </cell>
          <cell r="D102">
            <v>753.75</v>
          </cell>
          <cell r="E102">
            <v>0</v>
          </cell>
          <cell r="F102">
            <v>753.75</v>
          </cell>
          <cell r="G102">
            <v>-153.75</v>
          </cell>
        </row>
        <row r="103">
          <cell r="A103" t="str">
            <v>3214</v>
          </cell>
          <cell r="B103" t="str">
            <v>Ostale naknade troškova zaposlenima</v>
          </cell>
          <cell r="C103">
            <v>1000</v>
          </cell>
          <cell r="D103">
            <v>829.5</v>
          </cell>
          <cell r="E103">
            <v>0</v>
          </cell>
          <cell r="F103">
            <v>829.5</v>
          </cell>
          <cell r="G103">
            <v>170.5</v>
          </cell>
        </row>
        <row r="104">
          <cell r="A104" t="str">
            <v>3221</v>
          </cell>
          <cell r="B104" t="str">
            <v>Uredski materijal i ostali materijalni rashodi</v>
          </cell>
          <cell r="C104">
            <v>1900</v>
          </cell>
          <cell r="D104">
            <v>2334.77</v>
          </cell>
          <cell r="E104">
            <v>0</v>
          </cell>
          <cell r="F104">
            <v>2334.77</v>
          </cell>
          <cell r="G104">
            <v>-434.77</v>
          </cell>
        </row>
        <row r="105">
          <cell r="A105" t="str">
            <v>3222</v>
          </cell>
          <cell r="B105" t="str">
            <v>Materijal i sirovine</v>
          </cell>
          <cell r="C105">
            <v>1300</v>
          </cell>
          <cell r="D105">
            <v>1177.73</v>
          </cell>
          <cell r="E105">
            <v>0</v>
          </cell>
          <cell r="F105">
            <v>1177.73</v>
          </cell>
          <cell r="G105">
            <v>122.27</v>
          </cell>
        </row>
        <row r="106">
          <cell r="A106" t="str">
            <v>3223</v>
          </cell>
          <cell r="B106" t="str">
            <v>Energija</v>
          </cell>
          <cell r="C106">
            <v>12000</v>
          </cell>
          <cell r="D106">
            <v>11589.33</v>
          </cell>
          <cell r="E106">
            <v>0</v>
          </cell>
          <cell r="F106">
            <v>11589.33</v>
          </cell>
          <cell r="G106">
            <v>410.67</v>
          </cell>
        </row>
        <row r="107">
          <cell r="A107" t="str">
            <v>3224</v>
          </cell>
          <cell r="B107" t="str">
            <v>Materijal i dijelovi za tekuće i investicijsko održavanje</v>
          </cell>
          <cell r="C107">
            <v>100</v>
          </cell>
          <cell r="D107">
            <v>1121.22</v>
          </cell>
          <cell r="E107">
            <v>0</v>
          </cell>
          <cell r="F107">
            <v>1121.22</v>
          </cell>
          <cell r="G107">
            <v>-1021.22</v>
          </cell>
        </row>
        <row r="108">
          <cell r="A108" t="str">
            <v>3225</v>
          </cell>
          <cell r="B108" t="str">
            <v>Sitni inventar i autogume</v>
          </cell>
          <cell r="C108">
            <v>1300</v>
          </cell>
          <cell r="D108">
            <v>697.75</v>
          </cell>
          <cell r="E108">
            <v>0</v>
          </cell>
          <cell r="F108">
            <v>697.75</v>
          </cell>
          <cell r="G108">
            <v>602.25</v>
          </cell>
        </row>
        <row r="109">
          <cell r="A109" t="str">
            <v>3227</v>
          </cell>
          <cell r="B109" t="str">
            <v>Službena, radna i zaštitna odjeća i obuća</v>
          </cell>
          <cell r="C109">
            <v>200</v>
          </cell>
          <cell r="D109">
            <v>0</v>
          </cell>
          <cell r="E109">
            <v>0</v>
          </cell>
          <cell r="F109">
            <v>0</v>
          </cell>
          <cell r="G109">
            <v>200</v>
          </cell>
        </row>
        <row r="110">
          <cell r="A110" t="str">
            <v>3231</v>
          </cell>
          <cell r="B110" t="str">
            <v>Usluge telefona, interneta, pošte i prijevoza</v>
          </cell>
          <cell r="C110">
            <v>4000</v>
          </cell>
          <cell r="D110">
            <v>2336.14</v>
          </cell>
          <cell r="E110">
            <v>0</v>
          </cell>
          <cell r="F110">
            <v>2336.14</v>
          </cell>
          <cell r="G110">
            <v>1663.86</v>
          </cell>
        </row>
        <row r="111">
          <cell r="A111" t="str">
            <v>3232</v>
          </cell>
          <cell r="B111" t="str">
            <v>Usluge tekućeg i investicijskog  održavanja</v>
          </cell>
          <cell r="C111">
            <v>22300</v>
          </cell>
          <cell r="D111">
            <v>16693.419999999998</v>
          </cell>
          <cell r="E111">
            <v>0</v>
          </cell>
          <cell r="F111">
            <v>16693.419999999998</v>
          </cell>
          <cell r="G111">
            <v>5606.58</v>
          </cell>
        </row>
        <row r="112">
          <cell r="A112" t="str">
            <v>3234</v>
          </cell>
          <cell r="B112" t="str">
            <v>Komunalne usluge</v>
          </cell>
          <cell r="C112">
            <v>8700</v>
          </cell>
          <cell r="D112">
            <v>9361.1200000000008</v>
          </cell>
          <cell r="E112">
            <v>0</v>
          </cell>
          <cell r="F112">
            <v>9361.1200000000008</v>
          </cell>
          <cell r="G112">
            <v>-661.12</v>
          </cell>
        </row>
        <row r="113">
          <cell r="A113" t="str">
            <v>3235</v>
          </cell>
          <cell r="B113" t="str">
            <v>Zakupnine i najamnine</v>
          </cell>
          <cell r="C113">
            <v>600</v>
          </cell>
          <cell r="D113">
            <v>3651</v>
          </cell>
          <cell r="E113">
            <v>0</v>
          </cell>
          <cell r="F113">
            <v>3651</v>
          </cell>
          <cell r="G113">
            <v>-3051</v>
          </cell>
        </row>
        <row r="114">
          <cell r="A114" t="str">
            <v>3236</v>
          </cell>
          <cell r="B114" t="str">
            <v>Zdravstvene i veterinarske usluge</v>
          </cell>
          <cell r="C114">
            <v>700</v>
          </cell>
          <cell r="D114">
            <v>0</v>
          </cell>
          <cell r="E114">
            <v>0</v>
          </cell>
          <cell r="F114">
            <v>0</v>
          </cell>
          <cell r="G114">
            <v>700</v>
          </cell>
        </row>
        <row r="115">
          <cell r="A115" t="str">
            <v>3237</v>
          </cell>
          <cell r="B115" t="str">
            <v>Intelektualne i osobne usluge</v>
          </cell>
          <cell r="C115">
            <v>600</v>
          </cell>
          <cell r="D115">
            <v>740</v>
          </cell>
          <cell r="E115">
            <v>0</v>
          </cell>
          <cell r="F115">
            <v>740</v>
          </cell>
          <cell r="G115">
            <v>-140</v>
          </cell>
        </row>
        <row r="116">
          <cell r="A116" t="str">
            <v>3238</v>
          </cell>
          <cell r="B116" t="str">
            <v>Računalne usluge</v>
          </cell>
          <cell r="C116">
            <v>5400</v>
          </cell>
          <cell r="D116">
            <v>123.55</v>
          </cell>
          <cell r="E116">
            <v>0</v>
          </cell>
          <cell r="F116">
            <v>123.55</v>
          </cell>
          <cell r="G116">
            <v>5276.45</v>
          </cell>
        </row>
        <row r="117">
          <cell r="A117" t="str">
            <v>3239</v>
          </cell>
          <cell r="B117" t="str">
            <v>Ostale usluge</v>
          </cell>
          <cell r="C117">
            <v>2700</v>
          </cell>
          <cell r="D117">
            <v>4915.34</v>
          </cell>
          <cell r="E117">
            <v>0</v>
          </cell>
          <cell r="F117">
            <v>4915.34</v>
          </cell>
          <cell r="G117">
            <v>-2215.34</v>
          </cell>
        </row>
        <row r="118">
          <cell r="A118" t="str">
            <v>3292</v>
          </cell>
          <cell r="B118" t="str">
            <v>Premije osiguranja</v>
          </cell>
          <cell r="C118">
            <v>1600</v>
          </cell>
          <cell r="D118">
            <v>1668.05</v>
          </cell>
          <cell r="E118">
            <v>0</v>
          </cell>
          <cell r="F118">
            <v>1668.05</v>
          </cell>
          <cell r="G118">
            <v>-68.05</v>
          </cell>
        </row>
        <row r="119">
          <cell r="A119" t="str">
            <v>3293</v>
          </cell>
          <cell r="B119" t="str">
            <v>Reprezentacija</v>
          </cell>
          <cell r="C119">
            <v>800</v>
          </cell>
          <cell r="D119">
            <v>1319.61</v>
          </cell>
          <cell r="E119">
            <v>0</v>
          </cell>
          <cell r="F119">
            <v>1319.61</v>
          </cell>
          <cell r="G119">
            <v>-519.61</v>
          </cell>
        </row>
        <row r="120">
          <cell r="A120" t="str">
            <v>3294</v>
          </cell>
          <cell r="B120" t="str">
            <v>Članarine i norme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A121" t="str">
            <v>3295</v>
          </cell>
          <cell r="B121" t="str">
            <v>Pristojbe i naknade</v>
          </cell>
          <cell r="C121">
            <v>600</v>
          </cell>
          <cell r="D121">
            <v>307.83999999999997</v>
          </cell>
          <cell r="E121">
            <v>0</v>
          </cell>
          <cell r="F121">
            <v>307.83999999999997</v>
          </cell>
          <cell r="G121">
            <v>292.16000000000003</v>
          </cell>
        </row>
        <row r="122">
          <cell r="A122" t="str">
            <v>3299</v>
          </cell>
          <cell r="B122" t="str">
            <v>Ostali nespomenuti rashodi poslovanja</v>
          </cell>
          <cell r="C122">
            <v>2000</v>
          </cell>
          <cell r="D122">
            <v>45</v>
          </cell>
          <cell r="E122">
            <v>0</v>
          </cell>
          <cell r="F122">
            <v>45</v>
          </cell>
          <cell r="G122">
            <v>1955</v>
          </cell>
        </row>
        <row r="123">
          <cell r="A123" t="str">
            <v>3431</v>
          </cell>
          <cell r="B123" t="str">
            <v>Bankarske usluge i usluge platnog prometa</v>
          </cell>
          <cell r="C123">
            <v>2700</v>
          </cell>
          <cell r="D123">
            <v>0</v>
          </cell>
          <cell r="E123">
            <v>0</v>
          </cell>
          <cell r="F123">
            <v>0</v>
          </cell>
          <cell r="G123">
            <v>2700</v>
          </cell>
        </row>
        <row r="124">
          <cell r="A124" t="str">
            <v>3433</v>
          </cell>
          <cell r="B124" t="str">
            <v>Zatezne kamate</v>
          </cell>
          <cell r="C124">
            <v>200</v>
          </cell>
          <cell r="D124">
            <v>22.55</v>
          </cell>
          <cell r="E124">
            <v>0</v>
          </cell>
          <cell r="F124">
            <v>22.55</v>
          </cell>
          <cell r="G124">
            <v>177.45</v>
          </cell>
        </row>
        <row r="126">
          <cell r="A126" t="str">
            <v>3221</v>
          </cell>
          <cell r="B126" t="str">
            <v>Uredski materijal i ostali materijalni rashodi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</row>
        <row r="127">
          <cell r="A127" t="str">
            <v>3222</v>
          </cell>
          <cell r="B127" t="str">
            <v>Materijal i sirovine</v>
          </cell>
          <cell r="C127">
            <v>100</v>
          </cell>
          <cell r="D127">
            <v>39.99</v>
          </cell>
          <cell r="E127">
            <v>0</v>
          </cell>
          <cell r="F127">
            <v>39.99</v>
          </cell>
          <cell r="G127">
            <v>60.01</v>
          </cell>
        </row>
        <row r="128">
          <cell r="A128" t="str">
            <v>3225</v>
          </cell>
          <cell r="B128" t="str">
            <v>Sitni inventar i autogume</v>
          </cell>
          <cell r="C128">
            <v>300</v>
          </cell>
          <cell r="D128">
            <v>268.10000000000002</v>
          </cell>
          <cell r="E128">
            <v>0</v>
          </cell>
          <cell r="F128">
            <v>268.10000000000002</v>
          </cell>
          <cell r="G128">
            <v>31.9</v>
          </cell>
        </row>
        <row r="129">
          <cell r="A129" t="str">
            <v>3235</v>
          </cell>
          <cell r="B129" t="str">
            <v>Zakupnine i najamnine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A130" t="str">
            <v>3293</v>
          </cell>
          <cell r="B130" t="str">
            <v>Reprezentacija</v>
          </cell>
          <cell r="C130">
            <v>600</v>
          </cell>
          <cell r="D130">
            <v>0</v>
          </cell>
          <cell r="E130">
            <v>0</v>
          </cell>
          <cell r="F130">
            <v>0</v>
          </cell>
          <cell r="G130">
            <v>600</v>
          </cell>
        </row>
        <row r="132">
          <cell r="A132" t="str">
            <v>3211</v>
          </cell>
          <cell r="B132" t="str">
            <v>Službena putovanja</v>
          </cell>
          <cell r="C132">
            <v>18000</v>
          </cell>
          <cell r="D132">
            <v>21669.13</v>
          </cell>
          <cell r="E132">
            <v>0</v>
          </cell>
          <cell r="F132">
            <v>21669.13</v>
          </cell>
          <cell r="G132">
            <v>-3669.13</v>
          </cell>
        </row>
        <row r="133">
          <cell r="A133" t="str">
            <v>3213</v>
          </cell>
          <cell r="B133" t="str">
            <v>Stručno usavršavanje zaposlenika</v>
          </cell>
          <cell r="C133">
            <v>4000</v>
          </cell>
          <cell r="D133">
            <v>2150</v>
          </cell>
          <cell r="E133">
            <v>0</v>
          </cell>
          <cell r="F133">
            <v>2150</v>
          </cell>
          <cell r="G133">
            <v>1850</v>
          </cell>
        </row>
        <row r="134">
          <cell r="A134" t="str">
            <v>3232</v>
          </cell>
          <cell r="B134" t="str">
            <v>Usluge tekućeg i investicijskog  održavanja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A135" t="str">
            <v>3233</v>
          </cell>
          <cell r="B135" t="str">
            <v>Usluge promidžbe i informiranja</v>
          </cell>
          <cell r="C135">
            <v>4000</v>
          </cell>
          <cell r="D135">
            <v>2327</v>
          </cell>
          <cell r="E135">
            <v>0</v>
          </cell>
          <cell r="F135">
            <v>2327</v>
          </cell>
          <cell r="G135">
            <v>1673</v>
          </cell>
        </row>
        <row r="136">
          <cell r="A136" t="str">
            <v>3237</v>
          </cell>
          <cell r="B136" t="str">
            <v>Intelektualne i osobne usluge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</row>
        <row r="137">
          <cell r="A137">
            <v>3239</v>
          </cell>
          <cell r="B137" t="str">
            <v>Ostale usluge</v>
          </cell>
          <cell r="C137">
            <v>0</v>
          </cell>
          <cell r="D137">
            <v>786.71</v>
          </cell>
          <cell r="E137">
            <v>0</v>
          </cell>
          <cell r="F137">
            <v>786.71</v>
          </cell>
          <cell r="G137">
            <v>-786.71</v>
          </cell>
        </row>
        <row r="138">
          <cell r="A138" t="str">
            <v>3293</v>
          </cell>
          <cell r="B138" t="str">
            <v>Reprezentacija</v>
          </cell>
          <cell r="C138">
            <v>2000</v>
          </cell>
          <cell r="D138">
            <v>267.64999999999998</v>
          </cell>
          <cell r="E138">
            <v>0</v>
          </cell>
          <cell r="F138">
            <v>267.64999999999998</v>
          </cell>
          <cell r="G138">
            <v>1732.35</v>
          </cell>
        </row>
        <row r="143">
          <cell r="A143" t="str">
            <v>3214</v>
          </cell>
          <cell r="B143" t="str">
            <v>Ostale naknade troškova zaposlenima</v>
          </cell>
          <cell r="C143">
            <v>5000</v>
          </cell>
          <cell r="D143">
            <v>0</v>
          </cell>
          <cell r="E143">
            <v>0</v>
          </cell>
          <cell r="F143">
            <v>0</v>
          </cell>
          <cell r="G143">
            <v>5000</v>
          </cell>
        </row>
        <row r="144">
          <cell r="A144" t="str">
            <v>3221</v>
          </cell>
          <cell r="B144" t="str">
            <v>Uredski materijal i ostali materijalni rashodi</v>
          </cell>
          <cell r="C144">
            <v>60000</v>
          </cell>
          <cell r="D144">
            <v>60000</v>
          </cell>
          <cell r="E144">
            <v>0</v>
          </cell>
          <cell r="F144">
            <v>60000</v>
          </cell>
          <cell r="G144">
            <v>0</v>
          </cell>
        </row>
        <row r="145">
          <cell r="A145" t="str">
            <v>3222</v>
          </cell>
          <cell r="B145" t="str">
            <v>Materijal i sirovine</v>
          </cell>
          <cell r="C145">
            <v>11200</v>
          </cell>
          <cell r="D145">
            <v>5063.03</v>
          </cell>
          <cell r="E145">
            <v>0</v>
          </cell>
          <cell r="F145">
            <v>5063.03</v>
          </cell>
          <cell r="G145">
            <v>6136.97</v>
          </cell>
        </row>
        <row r="146">
          <cell r="A146" t="str">
            <v>3231</v>
          </cell>
          <cell r="B146" t="str">
            <v>Usluge telefona, interneta, pošte i prijevoza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</row>
        <row r="147">
          <cell r="A147" t="str">
            <v>3232</v>
          </cell>
          <cell r="B147" t="str">
            <v>Usluge tekućeg i investicijskog  održavanja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</row>
        <row r="148">
          <cell r="A148" t="str">
            <v>3233</v>
          </cell>
          <cell r="B148" t="str">
            <v>Usluge promidžbe i informiranja</v>
          </cell>
          <cell r="C148">
            <v>900</v>
          </cell>
          <cell r="D148">
            <v>591.25</v>
          </cell>
          <cell r="E148">
            <v>0</v>
          </cell>
          <cell r="F148">
            <v>591.25</v>
          </cell>
          <cell r="G148">
            <v>308.75</v>
          </cell>
        </row>
        <row r="149">
          <cell r="A149" t="str">
            <v>3235</v>
          </cell>
          <cell r="B149" t="str">
            <v>Zakupnine i najamnine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</row>
        <row r="150">
          <cell r="A150" t="str">
            <v>3237</v>
          </cell>
          <cell r="B150" t="str">
            <v>Intelektualne i osobne usluge</v>
          </cell>
          <cell r="C150">
            <v>58800</v>
          </cell>
          <cell r="D150">
            <v>74866.350000000006</v>
          </cell>
          <cell r="E150">
            <v>0</v>
          </cell>
          <cell r="F150">
            <v>74866.350000000006</v>
          </cell>
          <cell r="G150">
            <v>-16066.35</v>
          </cell>
        </row>
        <row r="151">
          <cell r="A151" t="str">
            <v>3238</v>
          </cell>
          <cell r="B151" t="str">
            <v>Računalne usluge</v>
          </cell>
          <cell r="C151">
            <v>23000</v>
          </cell>
          <cell r="D151">
            <v>23000</v>
          </cell>
          <cell r="E151">
            <v>0</v>
          </cell>
          <cell r="F151">
            <v>23000</v>
          </cell>
          <cell r="G151">
            <v>0</v>
          </cell>
        </row>
        <row r="152">
          <cell r="A152" t="str">
            <v>3239</v>
          </cell>
          <cell r="B152" t="str">
            <v>Ostale usluge</v>
          </cell>
          <cell r="C152">
            <v>21100</v>
          </cell>
          <cell r="D152">
            <v>12485</v>
          </cell>
          <cell r="E152">
            <v>0</v>
          </cell>
          <cell r="F152">
            <v>12485</v>
          </cell>
          <cell r="G152">
            <v>8615</v>
          </cell>
        </row>
        <row r="153">
          <cell r="A153" t="str">
            <v>3293</v>
          </cell>
          <cell r="B153" t="str">
            <v>Reprezentacija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</row>
        <row r="155">
          <cell r="A155" t="str">
            <v>3211</v>
          </cell>
          <cell r="B155" t="str">
            <v>Službena putovanja</v>
          </cell>
          <cell r="C155">
            <v>20000</v>
          </cell>
          <cell r="D155">
            <v>16665.310000000001</v>
          </cell>
          <cell r="E155">
            <v>0</v>
          </cell>
          <cell r="F155">
            <v>16665.310000000001</v>
          </cell>
          <cell r="G155">
            <v>3334.69</v>
          </cell>
        </row>
        <row r="156">
          <cell r="A156" t="str">
            <v>3213</v>
          </cell>
          <cell r="B156" t="str">
            <v>Stručno usavršavanje zaposlenika</v>
          </cell>
          <cell r="C156">
            <v>2000</v>
          </cell>
          <cell r="D156">
            <v>1371.47</v>
          </cell>
          <cell r="E156">
            <v>0</v>
          </cell>
          <cell r="F156">
            <v>1371.47</v>
          </cell>
          <cell r="G156">
            <v>628.53</v>
          </cell>
        </row>
        <row r="157">
          <cell r="A157" t="str">
            <v>3221</v>
          </cell>
          <cell r="B157" t="str">
            <v>Uredski materijal i ostali materijalni rashodi</v>
          </cell>
          <cell r="C157">
            <v>1000</v>
          </cell>
          <cell r="D157">
            <v>37892.080000000002</v>
          </cell>
          <cell r="E157">
            <v>0</v>
          </cell>
          <cell r="F157">
            <v>37892.080000000002</v>
          </cell>
          <cell r="G157">
            <v>-36892.080000000002</v>
          </cell>
        </row>
        <row r="158">
          <cell r="A158" t="str">
            <v>3222</v>
          </cell>
          <cell r="B158" t="str">
            <v>Materijal i sirovine</v>
          </cell>
          <cell r="C158">
            <v>1000</v>
          </cell>
          <cell r="D158">
            <v>807.99</v>
          </cell>
          <cell r="E158">
            <v>0</v>
          </cell>
          <cell r="F158">
            <v>807.99</v>
          </cell>
          <cell r="G158">
            <v>192.01</v>
          </cell>
        </row>
        <row r="159">
          <cell r="A159" t="str">
            <v>3225</v>
          </cell>
          <cell r="B159" t="str">
            <v>Sitni inventar i autogume</v>
          </cell>
          <cell r="C159">
            <v>1000</v>
          </cell>
          <cell r="D159">
            <v>575.54999999999995</v>
          </cell>
          <cell r="E159">
            <v>0</v>
          </cell>
          <cell r="F159">
            <v>575.54999999999995</v>
          </cell>
          <cell r="G159">
            <v>424.45</v>
          </cell>
        </row>
        <row r="160">
          <cell r="A160" t="str">
            <v>3231</v>
          </cell>
          <cell r="B160" t="str">
            <v>Usluge telefona, interneta, pošte i prijevoza</v>
          </cell>
          <cell r="C160">
            <v>500</v>
          </cell>
          <cell r="D160">
            <v>44.29</v>
          </cell>
          <cell r="E160">
            <v>0</v>
          </cell>
          <cell r="F160">
            <v>44.29</v>
          </cell>
          <cell r="G160">
            <v>455.71</v>
          </cell>
        </row>
        <row r="161">
          <cell r="A161" t="str">
            <v>3233</v>
          </cell>
          <cell r="B161" t="str">
            <v>Usluge promidžbe i informiranja</v>
          </cell>
          <cell r="C161">
            <v>700</v>
          </cell>
          <cell r="D161">
            <v>0</v>
          </cell>
          <cell r="E161">
            <v>0</v>
          </cell>
          <cell r="F161">
            <v>0</v>
          </cell>
          <cell r="G161">
            <v>700</v>
          </cell>
        </row>
        <row r="162">
          <cell r="A162" t="str">
            <v>3235</v>
          </cell>
          <cell r="B162" t="str">
            <v>Zakupnine i najamnine</v>
          </cell>
          <cell r="C162">
            <v>0</v>
          </cell>
          <cell r="D162">
            <v>219.65</v>
          </cell>
          <cell r="E162">
            <v>0</v>
          </cell>
          <cell r="F162">
            <v>219.65</v>
          </cell>
          <cell r="G162">
            <v>-219.65</v>
          </cell>
        </row>
        <row r="163">
          <cell r="A163" t="str">
            <v>3237</v>
          </cell>
          <cell r="B163" t="str">
            <v>Intelektualne i osobne usluge</v>
          </cell>
          <cell r="C163">
            <v>22100</v>
          </cell>
          <cell r="D163">
            <v>28730.21</v>
          </cell>
          <cell r="E163">
            <v>0</v>
          </cell>
          <cell r="F163">
            <v>28730.21</v>
          </cell>
          <cell r="G163">
            <v>-6630.21</v>
          </cell>
        </row>
        <row r="164">
          <cell r="A164" t="str">
            <v>3238</v>
          </cell>
          <cell r="B164" t="str">
            <v>Računalne usluge</v>
          </cell>
          <cell r="C164">
            <v>1000</v>
          </cell>
          <cell r="D164">
            <v>2064.25</v>
          </cell>
          <cell r="E164">
            <v>0</v>
          </cell>
          <cell r="F164">
            <v>2064.25</v>
          </cell>
          <cell r="G164">
            <v>-1064.25</v>
          </cell>
        </row>
        <row r="165">
          <cell r="A165" t="str">
            <v>3239</v>
          </cell>
          <cell r="B165" t="str">
            <v>Ostale usluge</v>
          </cell>
          <cell r="C165">
            <v>4000</v>
          </cell>
          <cell r="D165">
            <v>3418.16</v>
          </cell>
          <cell r="E165">
            <v>0</v>
          </cell>
          <cell r="F165">
            <v>3418.16</v>
          </cell>
          <cell r="G165">
            <v>581.84</v>
          </cell>
        </row>
        <row r="166">
          <cell r="A166" t="str">
            <v>3293</v>
          </cell>
          <cell r="B166" t="str">
            <v>Reprezentacija</v>
          </cell>
          <cell r="C166">
            <v>3000</v>
          </cell>
          <cell r="D166">
            <v>2599.84</v>
          </cell>
          <cell r="E166">
            <v>0</v>
          </cell>
          <cell r="F166">
            <v>2599.84</v>
          </cell>
          <cell r="G166">
            <v>400.16</v>
          </cell>
        </row>
        <row r="168">
          <cell r="A168" t="str">
            <v>3211</v>
          </cell>
          <cell r="B168" t="str">
            <v>Službena putovanja</v>
          </cell>
          <cell r="C168">
            <v>6000</v>
          </cell>
          <cell r="D168">
            <v>3575.79</v>
          </cell>
          <cell r="E168">
            <v>0</v>
          </cell>
          <cell r="F168">
            <v>3575.79</v>
          </cell>
          <cell r="G168">
            <v>2424.21</v>
          </cell>
        </row>
        <row r="169">
          <cell r="A169" t="str">
            <v>3213</v>
          </cell>
          <cell r="B169" t="str">
            <v>Stručno usavršavanje zaposlenika</v>
          </cell>
          <cell r="C169">
            <v>4000</v>
          </cell>
          <cell r="D169">
            <v>1395</v>
          </cell>
          <cell r="E169">
            <v>0</v>
          </cell>
          <cell r="F169">
            <v>1395</v>
          </cell>
          <cell r="G169">
            <v>2605</v>
          </cell>
        </row>
        <row r="170">
          <cell r="A170" t="str">
            <v>3221</v>
          </cell>
          <cell r="B170" t="str">
            <v>Uredski materijal i ostali materijalni rashodi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>3222</v>
          </cell>
          <cell r="B171" t="str">
            <v>Materijal i sirovine</v>
          </cell>
          <cell r="C171">
            <v>2000</v>
          </cell>
          <cell r="D171">
            <v>636.55999999999995</v>
          </cell>
          <cell r="E171">
            <v>0</v>
          </cell>
          <cell r="F171">
            <v>636.55999999999995</v>
          </cell>
          <cell r="G171">
            <v>1363.44</v>
          </cell>
        </row>
        <row r="172">
          <cell r="A172" t="str">
            <v>3223</v>
          </cell>
          <cell r="B172" t="str">
            <v>Energija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</row>
        <row r="173">
          <cell r="A173" t="str">
            <v>3224</v>
          </cell>
          <cell r="B173" t="str">
            <v>Materijal i dijelovi za tekuće i investicijsko održavanje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</row>
        <row r="174">
          <cell r="A174" t="str">
            <v>3225</v>
          </cell>
          <cell r="B174" t="str">
            <v>Sitni inventar i autogume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>3231</v>
          </cell>
          <cell r="B175" t="str">
            <v>Usluge telefona, interneta, pošte i prijevoza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A176" t="str">
            <v>3233</v>
          </cell>
          <cell r="B176" t="str">
            <v>Usluge promidžbe i informiranja</v>
          </cell>
          <cell r="C176">
            <v>1800</v>
          </cell>
          <cell r="D176">
            <v>364.8</v>
          </cell>
          <cell r="E176">
            <v>0</v>
          </cell>
          <cell r="F176">
            <v>364.8</v>
          </cell>
          <cell r="G176">
            <v>1435.2</v>
          </cell>
        </row>
        <row r="177">
          <cell r="A177" t="str">
            <v>3235</v>
          </cell>
          <cell r="B177" t="str">
            <v>Zakupnine i najamnine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</row>
        <row r="178">
          <cell r="A178" t="str">
            <v>3237</v>
          </cell>
          <cell r="B178" t="str">
            <v>Intelektualne i osobne usluge</v>
          </cell>
          <cell r="C178">
            <v>28500</v>
          </cell>
          <cell r="D178">
            <v>27515.66</v>
          </cell>
          <cell r="E178">
            <v>0</v>
          </cell>
          <cell r="F178">
            <v>27515.66</v>
          </cell>
          <cell r="G178">
            <v>984.34</v>
          </cell>
        </row>
        <row r="179">
          <cell r="A179" t="str">
            <v>3238</v>
          </cell>
          <cell r="B179" t="str">
            <v>Računalne usluge</v>
          </cell>
          <cell r="C179">
            <v>13500</v>
          </cell>
          <cell r="D179">
            <v>14082.5</v>
          </cell>
          <cell r="E179">
            <v>0</v>
          </cell>
          <cell r="F179">
            <v>14082.5</v>
          </cell>
          <cell r="G179">
            <v>-582.5</v>
          </cell>
        </row>
        <row r="180">
          <cell r="A180" t="str">
            <v>3239</v>
          </cell>
          <cell r="B180" t="str">
            <v>Ostale usluge</v>
          </cell>
          <cell r="C180">
            <v>11000</v>
          </cell>
          <cell r="D180">
            <v>18570.39</v>
          </cell>
          <cell r="E180">
            <v>0</v>
          </cell>
          <cell r="F180">
            <v>18570.39</v>
          </cell>
          <cell r="G180">
            <v>-7570.39</v>
          </cell>
        </row>
        <row r="181">
          <cell r="A181" t="str">
            <v>3241</v>
          </cell>
          <cell r="B181" t="str">
            <v>Naknade troškova osobama izvan radnog odnosa</v>
          </cell>
          <cell r="C181">
            <v>1000</v>
          </cell>
          <cell r="D181">
            <v>407.3</v>
          </cell>
          <cell r="E181">
            <v>0</v>
          </cell>
          <cell r="F181">
            <v>407.3</v>
          </cell>
          <cell r="G181">
            <v>592.70000000000005</v>
          </cell>
        </row>
        <row r="182">
          <cell r="A182" t="str">
            <v>3293</v>
          </cell>
          <cell r="B182" t="str">
            <v>Reprezentacija</v>
          </cell>
          <cell r="C182">
            <v>3300</v>
          </cell>
          <cell r="D182">
            <v>1635.18</v>
          </cell>
          <cell r="E182">
            <v>0</v>
          </cell>
          <cell r="F182">
            <v>1635.18</v>
          </cell>
          <cell r="G182">
            <v>1664.82</v>
          </cell>
        </row>
        <row r="183">
          <cell r="A183" t="str">
            <v>3294</v>
          </cell>
          <cell r="B183" t="str">
            <v>Članarine i norme</v>
          </cell>
          <cell r="C183">
            <v>2000</v>
          </cell>
          <cell r="D183">
            <v>2000</v>
          </cell>
          <cell r="E183">
            <v>0</v>
          </cell>
          <cell r="F183">
            <v>2000</v>
          </cell>
          <cell r="G183">
            <v>0</v>
          </cell>
        </row>
        <row r="184">
          <cell r="A184" t="str">
            <v>3299</v>
          </cell>
          <cell r="B184" t="str">
            <v>Ostali nespomenuti rashodi poslovanja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6">
          <cell r="A186" t="str">
            <v>3221</v>
          </cell>
          <cell r="B186" t="str">
            <v>Uredski materijal i ostali materijalni rashodi</v>
          </cell>
          <cell r="C186">
            <v>100</v>
          </cell>
          <cell r="D186">
            <v>10.5</v>
          </cell>
          <cell r="E186">
            <v>0</v>
          </cell>
          <cell r="F186">
            <v>10.5</v>
          </cell>
          <cell r="G186">
            <v>89.5</v>
          </cell>
        </row>
        <row r="187">
          <cell r="A187" t="str">
            <v>3222</v>
          </cell>
          <cell r="B187" t="str">
            <v>Materijal i sirovine</v>
          </cell>
          <cell r="C187">
            <v>400</v>
          </cell>
          <cell r="D187">
            <v>7.98</v>
          </cell>
          <cell r="E187">
            <v>0</v>
          </cell>
          <cell r="F187">
            <v>7.98</v>
          </cell>
          <cell r="G187">
            <v>392.02</v>
          </cell>
        </row>
        <row r="188">
          <cell r="A188" t="str">
            <v>3224</v>
          </cell>
          <cell r="B188" t="str">
            <v>Materijal i dijelovi za tekuće i investicijsko održavanje</v>
          </cell>
          <cell r="C188">
            <v>100</v>
          </cell>
          <cell r="D188">
            <v>0</v>
          </cell>
          <cell r="E188">
            <v>0</v>
          </cell>
          <cell r="F188">
            <v>0</v>
          </cell>
          <cell r="G188">
            <v>100</v>
          </cell>
        </row>
        <row r="189">
          <cell r="A189">
            <v>3225</v>
          </cell>
          <cell r="B189" t="str">
            <v>Sitni inventar i autogume</v>
          </cell>
          <cell r="C189">
            <v>0</v>
          </cell>
          <cell r="D189">
            <v>46.55</v>
          </cell>
          <cell r="E189">
            <v>0</v>
          </cell>
          <cell r="F189">
            <v>46.55</v>
          </cell>
          <cell r="G189">
            <v>-46.55</v>
          </cell>
        </row>
        <row r="190">
          <cell r="A190" t="str">
            <v>3233</v>
          </cell>
          <cell r="B190" t="str">
            <v>Usluge promidžbe i informiranja</v>
          </cell>
          <cell r="C190">
            <v>800</v>
          </cell>
          <cell r="D190">
            <v>1023.75</v>
          </cell>
          <cell r="E190">
            <v>0</v>
          </cell>
          <cell r="F190">
            <v>1023.75</v>
          </cell>
          <cell r="G190">
            <v>-223.75</v>
          </cell>
        </row>
        <row r="191">
          <cell r="A191" t="str">
            <v>3237</v>
          </cell>
          <cell r="B191" t="str">
            <v>Intelektualne i osobne usluge</v>
          </cell>
          <cell r="C191">
            <v>1100</v>
          </cell>
          <cell r="D191">
            <v>730.64</v>
          </cell>
          <cell r="E191">
            <v>0</v>
          </cell>
          <cell r="F191">
            <v>730.64</v>
          </cell>
          <cell r="G191">
            <v>369.36</v>
          </cell>
        </row>
        <row r="192">
          <cell r="A192" t="str">
            <v>3239</v>
          </cell>
          <cell r="B192" t="str">
            <v>Ostale usluge</v>
          </cell>
          <cell r="C192">
            <v>400</v>
          </cell>
          <cell r="D192">
            <v>343.75</v>
          </cell>
          <cell r="E192">
            <v>0</v>
          </cell>
          <cell r="F192">
            <v>343.75</v>
          </cell>
          <cell r="G192">
            <v>56.25</v>
          </cell>
        </row>
        <row r="198">
          <cell r="A198" t="str">
            <v>3235</v>
          </cell>
          <cell r="B198" t="str">
            <v>Zakupnine i najamnine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</row>
        <row r="199">
          <cell r="A199" t="str">
            <v>3722</v>
          </cell>
          <cell r="B199" t="str">
            <v>Naknade građanima i kućanstvima u naravi</v>
          </cell>
          <cell r="C199">
            <v>185500</v>
          </cell>
          <cell r="D199">
            <v>185500</v>
          </cell>
          <cell r="E199">
            <v>0</v>
          </cell>
          <cell r="F199">
            <v>185500</v>
          </cell>
          <cell r="G199">
            <v>0</v>
          </cell>
        </row>
        <row r="202">
          <cell r="A202" t="str">
            <v>3222</v>
          </cell>
          <cell r="B202" t="str">
            <v>Materijal i sirovine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A203" t="str">
            <v>3232</v>
          </cell>
          <cell r="B203" t="str">
            <v>Usluge tekućeg i investicijskog  održavanja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  <row r="204">
          <cell r="A204" t="str">
            <v>4221</v>
          </cell>
          <cell r="B204" t="str">
            <v>Uredska oprema i namještaj</v>
          </cell>
          <cell r="C204">
            <v>92800</v>
          </cell>
          <cell r="D204">
            <v>47867.78</v>
          </cell>
          <cell r="E204">
            <v>0</v>
          </cell>
          <cell r="F204">
            <v>47867.78</v>
          </cell>
          <cell r="G204">
            <v>44932.22</v>
          </cell>
        </row>
        <row r="205">
          <cell r="A205" t="str">
            <v>4223</v>
          </cell>
          <cell r="B205" t="str">
            <v>Oprema za održavanje i zaštitu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</row>
        <row r="206">
          <cell r="A206" t="str">
            <v>4231</v>
          </cell>
          <cell r="B206" t="str">
            <v>Prijevozna sredstva u cestovnom prometu</v>
          </cell>
          <cell r="C206">
            <v>168000</v>
          </cell>
          <cell r="D206">
            <v>0</v>
          </cell>
          <cell r="E206">
            <v>0</v>
          </cell>
          <cell r="F206">
            <v>0</v>
          </cell>
          <cell r="G206">
            <v>168000</v>
          </cell>
        </row>
        <row r="207">
          <cell r="A207" t="str">
            <v>4241</v>
          </cell>
          <cell r="B207" t="str">
            <v>Knjige</v>
          </cell>
          <cell r="C207">
            <v>1426000</v>
          </cell>
          <cell r="D207">
            <v>1300000</v>
          </cell>
          <cell r="E207">
            <v>0</v>
          </cell>
          <cell r="F207">
            <v>1300000</v>
          </cell>
          <cell r="G207">
            <v>126000</v>
          </cell>
        </row>
        <row r="208">
          <cell r="A208" t="str">
            <v>4511</v>
          </cell>
          <cell r="B208" t="str">
            <v>Dodatna ulaganja na građevinskim objektima</v>
          </cell>
          <cell r="C208">
            <v>430400</v>
          </cell>
          <cell r="D208">
            <v>9392.9599999999991</v>
          </cell>
          <cell r="E208">
            <v>0</v>
          </cell>
          <cell r="F208">
            <v>9392.9599999999991</v>
          </cell>
          <cell r="G208">
            <v>421007.04</v>
          </cell>
        </row>
        <row r="210">
          <cell r="A210" t="str">
            <v>4221</v>
          </cell>
          <cell r="B210" t="str">
            <v>Uredska oprema i namještaj</v>
          </cell>
          <cell r="C210">
            <v>36500</v>
          </cell>
          <cell r="D210">
            <v>75175.37</v>
          </cell>
          <cell r="E210">
            <v>0</v>
          </cell>
          <cell r="F210">
            <v>75175.37</v>
          </cell>
          <cell r="G210">
            <v>-38675.370000000003</v>
          </cell>
        </row>
        <row r="211">
          <cell r="A211" t="str">
            <v>4222</v>
          </cell>
          <cell r="B211" t="str">
            <v>Komunikacijska oprema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A212" t="str">
            <v>4223</v>
          </cell>
          <cell r="B212" t="str">
            <v>Oprema za održavanje i zaštitu</v>
          </cell>
          <cell r="C212">
            <v>15000</v>
          </cell>
          <cell r="D212">
            <v>14600.54</v>
          </cell>
          <cell r="E212">
            <v>0</v>
          </cell>
          <cell r="F212">
            <v>14600.54</v>
          </cell>
          <cell r="G212">
            <v>399.46</v>
          </cell>
        </row>
        <row r="213">
          <cell r="A213" t="str">
            <v>4226</v>
          </cell>
          <cell r="B213" t="str">
            <v>Sportska i glazbena oprema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</row>
        <row r="214">
          <cell r="A214" t="str">
            <v>4231</v>
          </cell>
          <cell r="B214" t="str">
            <v>Prijevozna sredstva u cestovnom prometu</v>
          </cell>
          <cell r="C214">
            <v>1500</v>
          </cell>
          <cell r="D214">
            <v>1500</v>
          </cell>
          <cell r="E214">
            <v>0</v>
          </cell>
          <cell r="F214">
            <v>1500</v>
          </cell>
          <cell r="G214">
            <v>0</v>
          </cell>
        </row>
        <row r="215">
          <cell r="A215" t="str">
            <v>4241</v>
          </cell>
          <cell r="B215" t="str">
            <v>Knjige</v>
          </cell>
          <cell r="C215">
            <v>0</v>
          </cell>
          <cell r="D215">
            <v>10.3</v>
          </cell>
          <cell r="E215">
            <v>0</v>
          </cell>
          <cell r="F215">
            <v>10.3</v>
          </cell>
          <cell r="G215">
            <v>-10.3</v>
          </cell>
        </row>
        <row r="216">
          <cell r="A216" t="str">
            <v>4262</v>
          </cell>
          <cell r="B216" t="str">
            <v>Ulaganja u računalne programe</v>
          </cell>
          <cell r="C216">
            <v>4500</v>
          </cell>
          <cell r="D216">
            <v>3208.98</v>
          </cell>
          <cell r="E216">
            <v>0</v>
          </cell>
          <cell r="F216">
            <v>3208.98</v>
          </cell>
          <cell r="G216">
            <v>1291.02</v>
          </cell>
        </row>
        <row r="217">
          <cell r="A217" t="str">
            <v>4511</v>
          </cell>
          <cell r="B217" t="str">
            <v>Dodatna ulaganja na građevinskim objektima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</row>
        <row r="219">
          <cell r="A219" t="str">
            <v>4221</v>
          </cell>
          <cell r="B219" t="str">
            <v>Uredska oprema i namještaj</v>
          </cell>
          <cell r="C219">
            <v>0</v>
          </cell>
          <cell r="D219">
            <v>221.98</v>
          </cell>
          <cell r="E219">
            <v>0</v>
          </cell>
          <cell r="F219">
            <v>221.98</v>
          </cell>
          <cell r="G219">
            <v>-221.98</v>
          </cell>
        </row>
        <row r="220">
          <cell r="A220" t="str">
            <v>4223</v>
          </cell>
          <cell r="B220" t="str">
            <v>Oprema za održavanje i zaštitu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</row>
        <row r="221">
          <cell r="A221" t="str">
            <v>4241</v>
          </cell>
          <cell r="B221" t="str">
            <v>Knjige</v>
          </cell>
          <cell r="C221">
            <v>548500</v>
          </cell>
          <cell r="D221">
            <v>701456.57</v>
          </cell>
          <cell r="E221">
            <v>0</v>
          </cell>
          <cell r="F221">
            <v>701456.57</v>
          </cell>
          <cell r="G221">
            <v>-152956.57</v>
          </cell>
        </row>
        <row r="223">
          <cell r="A223" t="str">
            <v>4221</v>
          </cell>
          <cell r="B223" t="str">
            <v>Uredska oprema i namještaj</v>
          </cell>
          <cell r="C223">
            <v>800</v>
          </cell>
          <cell r="D223">
            <v>2221.79</v>
          </cell>
          <cell r="E223">
            <v>0</v>
          </cell>
          <cell r="F223">
            <v>2221.79</v>
          </cell>
          <cell r="G223">
            <v>-1421.79</v>
          </cell>
        </row>
        <row r="224">
          <cell r="A224" t="str">
            <v>4241</v>
          </cell>
          <cell r="B224" t="str">
            <v>Knjige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</row>
        <row r="226">
          <cell r="A226" t="str">
            <v>3232</v>
          </cell>
          <cell r="B226" t="str">
            <v>Usluge tekućeg i investicijskog  održavanja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</row>
        <row r="227">
          <cell r="A227" t="str">
            <v>3237</v>
          </cell>
          <cell r="B227" t="str">
            <v>Intelektualne i osobne usluge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</row>
        <row r="228">
          <cell r="A228" t="str">
            <v>4511</v>
          </cell>
          <cell r="B228" t="str">
            <v>Dodatna ulaganja na građevinskim objektima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</row>
        <row r="230">
          <cell r="A230" t="str">
            <v>4221</v>
          </cell>
          <cell r="B230" t="str">
            <v>Uredska oprema i namještaj</v>
          </cell>
          <cell r="C230">
            <v>0</v>
          </cell>
          <cell r="D230">
            <v>149</v>
          </cell>
          <cell r="E230">
            <v>0</v>
          </cell>
          <cell r="F230">
            <v>149</v>
          </cell>
          <cell r="G230">
            <v>-149</v>
          </cell>
        </row>
        <row r="231">
          <cell r="A231" t="str">
            <v>4241</v>
          </cell>
          <cell r="B231" t="str">
            <v>Knjige</v>
          </cell>
          <cell r="C231">
            <v>100000</v>
          </cell>
          <cell r="D231">
            <v>93892.19</v>
          </cell>
          <cell r="E231">
            <v>0</v>
          </cell>
          <cell r="F231">
            <v>93892.19</v>
          </cell>
          <cell r="G231">
            <v>6107.81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hodi"/>
      <sheetName val="Rashodi"/>
      <sheetName val="Sheet2"/>
    </sheetNames>
    <sheetDataSet>
      <sheetData sheetId="0"/>
      <sheetData sheetId="1">
        <row r="5">
          <cell r="B5" t="str">
            <v>3111</v>
          </cell>
          <cell r="D5" t="str">
            <v>Plaće za redovan rad</v>
          </cell>
          <cell r="E5">
            <v>13944200</v>
          </cell>
          <cell r="F5">
            <v>13962614.67</v>
          </cell>
        </row>
        <row r="6">
          <cell r="B6" t="str">
            <v>3121</v>
          </cell>
          <cell r="D6" t="str">
            <v>Ostali rashodi za zaposlene</v>
          </cell>
          <cell r="E6">
            <v>899400</v>
          </cell>
          <cell r="F6">
            <v>1282770.57</v>
          </cell>
        </row>
        <row r="7">
          <cell r="B7" t="str">
            <v>3132</v>
          </cell>
          <cell r="D7" t="str">
            <v>Doprinosi za obvezno zdravstveno osiguranje</v>
          </cell>
          <cell r="E7">
            <v>2231900</v>
          </cell>
          <cell r="F7">
            <v>2240298.54</v>
          </cell>
        </row>
        <row r="8">
          <cell r="B8" t="str">
            <v>3212</v>
          </cell>
          <cell r="D8" t="str">
            <v>Naknade za prijevoz, za rad na terenu i odvojeni život</v>
          </cell>
          <cell r="E8">
            <v>321000</v>
          </cell>
          <cell r="F8">
            <v>297983.45</v>
          </cell>
        </row>
        <row r="9">
          <cell r="B9" t="str">
            <v>3213</v>
          </cell>
          <cell r="D9" t="str">
            <v>Stručno usavršavanje zaposlenika</v>
          </cell>
          <cell r="E9">
            <v>25000</v>
          </cell>
          <cell r="F9">
            <v>27626.21</v>
          </cell>
        </row>
        <row r="10">
          <cell r="B10" t="str">
            <v>3221</v>
          </cell>
          <cell r="D10" t="str">
            <v>Uredski materijal i ostali materijalni rashodi</v>
          </cell>
          <cell r="E10">
            <v>4500</v>
          </cell>
          <cell r="F10">
            <v>4585.75</v>
          </cell>
        </row>
        <row r="11">
          <cell r="B11" t="str">
            <v>3222</v>
          </cell>
          <cell r="D11" t="str">
            <v>Materijal i sirovine</v>
          </cell>
          <cell r="E11">
            <v>43400</v>
          </cell>
          <cell r="F11">
            <v>7878.08</v>
          </cell>
        </row>
        <row r="12">
          <cell r="B12" t="str">
            <v>3223</v>
          </cell>
          <cell r="D12" t="str">
            <v>Energija</v>
          </cell>
          <cell r="E12">
            <v>446900</v>
          </cell>
          <cell r="F12">
            <v>407791.85</v>
          </cell>
        </row>
        <row r="13">
          <cell r="B13" t="str">
            <v>3224</v>
          </cell>
          <cell r="D13" t="str">
            <v>Materijal i dijelovi za tekuće i investicijsko održavanje</v>
          </cell>
          <cell r="E13">
            <v>5000</v>
          </cell>
          <cell r="F13">
            <v>4030.8</v>
          </cell>
        </row>
        <row r="14">
          <cell r="B14" t="str">
            <v>3225</v>
          </cell>
          <cell r="D14" t="str">
            <v>Sitni inventar i autogume</v>
          </cell>
          <cell r="E14">
            <v>0</v>
          </cell>
          <cell r="F14">
            <v>0</v>
          </cell>
        </row>
        <row r="15">
          <cell r="B15" t="str">
            <v>3231</v>
          </cell>
          <cell r="D15" t="str">
            <v>Usluge telefona, interneta, pošte i prijevoza</v>
          </cell>
          <cell r="E15">
            <v>4000</v>
          </cell>
          <cell r="F15">
            <v>4000</v>
          </cell>
        </row>
        <row r="16">
          <cell r="B16" t="str">
            <v>3232</v>
          </cell>
          <cell r="D16" t="str">
            <v>Usluge tekućeg i investicijskog  održavanja</v>
          </cell>
          <cell r="E16">
            <v>10000</v>
          </cell>
          <cell r="F16">
            <v>10292.129999999999</v>
          </cell>
        </row>
        <row r="17">
          <cell r="B17" t="str">
            <v>3233</v>
          </cell>
          <cell r="D17" t="str">
            <v>Usluge promidžbe i informiranja</v>
          </cell>
          <cell r="E17">
            <v>30000</v>
          </cell>
          <cell r="F17">
            <v>25094.49</v>
          </cell>
        </row>
        <row r="18">
          <cell r="B18" t="str">
            <v>3234</v>
          </cell>
          <cell r="D18" t="str">
            <v>Komunalne usluge</v>
          </cell>
          <cell r="E18">
            <v>134300</v>
          </cell>
          <cell r="F18">
            <v>141678.94</v>
          </cell>
        </row>
        <row r="19">
          <cell r="B19" t="str">
            <v>3235</v>
          </cell>
          <cell r="D19" t="str">
            <v>Zakupnine i najamnine</v>
          </cell>
          <cell r="E19">
            <v>117500</v>
          </cell>
          <cell r="F19">
            <v>118372.66</v>
          </cell>
        </row>
        <row r="20">
          <cell r="B20" t="str">
            <v>3236</v>
          </cell>
          <cell r="D20" t="str">
            <v>Zdravstvene i veterinarske usluge</v>
          </cell>
          <cell r="E20">
            <v>54000</v>
          </cell>
          <cell r="F20">
            <v>25415</v>
          </cell>
        </row>
        <row r="21">
          <cell r="B21" t="str">
            <v>3237</v>
          </cell>
          <cell r="D21" t="str">
            <v>Intelektualne i osobne usluge</v>
          </cell>
          <cell r="E21">
            <v>95600</v>
          </cell>
          <cell r="F21">
            <v>107777.74</v>
          </cell>
        </row>
        <row r="22">
          <cell r="B22" t="str">
            <v>3238</v>
          </cell>
          <cell r="D22" t="str">
            <v>Računalne usluge</v>
          </cell>
          <cell r="E22">
            <v>50000</v>
          </cell>
          <cell r="F22">
            <v>50000</v>
          </cell>
        </row>
        <row r="23">
          <cell r="B23" t="str">
            <v>3291</v>
          </cell>
          <cell r="D23" t="str">
            <v>Naknade za rad predstavničkih i izvršnih tijela, povjerenstava i slično</v>
          </cell>
          <cell r="E23">
            <v>4000</v>
          </cell>
          <cell r="F23">
            <v>5083.92</v>
          </cell>
        </row>
        <row r="24">
          <cell r="B24" t="str">
            <v>3292</v>
          </cell>
          <cell r="D24" t="str">
            <v>Premije osiguranja</v>
          </cell>
          <cell r="E24">
            <v>25000</v>
          </cell>
          <cell r="F24">
            <v>24824.87</v>
          </cell>
        </row>
        <row r="25">
          <cell r="B25" t="str">
            <v>3294</v>
          </cell>
          <cell r="D25" t="str">
            <v>Članarine i norme</v>
          </cell>
          <cell r="E25">
            <v>0</v>
          </cell>
          <cell r="F25">
            <v>0</v>
          </cell>
        </row>
        <row r="26">
          <cell r="B26" t="str">
            <v>3295</v>
          </cell>
          <cell r="D26" t="str">
            <v>Pristojbe i naknade</v>
          </cell>
          <cell r="E26">
            <v>1000</v>
          </cell>
          <cell r="F26">
            <v>14618</v>
          </cell>
        </row>
        <row r="27">
          <cell r="B27" t="str">
            <v>3431</v>
          </cell>
          <cell r="D27" t="str">
            <v>Bankarske usluge i usluge platnog prometa</v>
          </cell>
          <cell r="E27">
            <v>1000</v>
          </cell>
          <cell r="F27">
            <v>1000</v>
          </cell>
        </row>
        <row r="28">
          <cell r="B28" t="str">
            <v>3694</v>
          </cell>
          <cell r="D28" t="str">
            <v>Kapitalni prijenosi između proračunskih korisnika istog proračuna temeljem prijenosa EU sredstava</v>
          </cell>
          <cell r="E28">
            <v>0</v>
          </cell>
          <cell r="F28">
            <v>0</v>
          </cell>
        </row>
        <row r="30">
          <cell r="B30" t="str">
            <v>3239</v>
          </cell>
          <cell r="D30" t="str">
            <v>Ostale usluge</v>
          </cell>
          <cell r="E30">
            <v>18300</v>
          </cell>
          <cell r="F30">
            <v>8389.26</v>
          </cell>
        </row>
        <row r="32">
          <cell r="B32" t="str">
            <v>3211</v>
          </cell>
          <cell r="D32" t="str">
            <v>Službena putovanja</v>
          </cell>
          <cell r="E32">
            <v>12000</v>
          </cell>
          <cell r="F32">
            <v>21376.04</v>
          </cell>
        </row>
        <row r="33">
          <cell r="B33">
            <v>3212</v>
          </cell>
          <cell r="D33" t="str">
            <v>Naknade za prijevoz, za rad na terenu i odvojeni život</v>
          </cell>
          <cell r="E33">
            <v>0</v>
          </cell>
          <cell r="F33">
            <v>13401.79</v>
          </cell>
        </row>
        <row r="34">
          <cell r="B34" t="str">
            <v>3213</v>
          </cell>
          <cell r="D34" t="str">
            <v>Stručno usavršavanje zaposlenika</v>
          </cell>
          <cell r="E34">
            <v>5000</v>
          </cell>
          <cell r="F34">
            <v>221.43</v>
          </cell>
        </row>
        <row r="35">
          <cell r="B35" t="str">
            <v>3221</v>
          </cell>
          <cell r="D35" t="str">
            <v>Uredski materijal i ostali materijalni rashodi</v>
          </cell>
          <cell r="E35">
            <v>73000</v>
          </cell>
          <cell r="F35">
            <v>63386.07</v>
          </cell>
        </row>
        <row r="36">
          <cell r="B36" t="str">
            <v>3222</v>
          </cell>
          <cell r="D36" t="str">
            <v>Materijal i sirovine</v>
          </cell>
          <cell r="E36">
            <v>64000</v>
          </cell>
          <cell r="F36">
            <v>44620.61</v>
          </cell>
        </row>
        <row r="37">
          <cell r="B37">
            <v>3223</v>
          </cell>
          <cell r="D37" t="str">
            <v>Energija</v>
          </cell>
          <cell r="E37">
            <v>0</v>
          </cell>
          <cell r="F37">
            <v>19.850000000000001</v>
          </cell>
        </row>
        <row r="38">
          <cell r="B38" t="str">
            <v>3224</v>
          </cell>
          <cell r="D38" t="str">
            <v>Materijal i dijelovi za tekuće i investicijsko održavanje</v>
          </cell>
          <cell r="E38">
            <v>33000</v>
          </cell>
          <cell r="F38">
            <v>22553.08</v>
          </cell>
        </row>
        <row r="39">
          <cell r="B39" t="str">
            <v>3225</v>
          </cell>
          <cell r="D39" t="str">
            <v>Sitni inventar i autogume</v>
          </cell>
          <cell r="E39">
            <v>5000</v>
          </cell>
          <cell r="F39">
            <v>6176.81</v>
          </cell>
        </row>
        <row r="40">
          <cell r="B40" t="str">
            <v>3227</v>
          </cell>
          <cell r="D40" t="str">
            <v>Službena, radna i zaštitna odjeća i obuća</v>
          </cell>
          <cell r="E40">
            <v>4000</v>
          </cell>
          <cell r="F40">
            <v>2740.27</v>
          </cell>
        </row>
        <row r="41">
          <cell r="B41" t="str">
            <v>3231</v>
          </cell>
          <cell r="D41" t="str">
            <v>Usluge telefona, interneta, pošte i prijevoza</v>
          </cell>
          <cell r="E41">
            <v>86000</v>
          </cell>
          <cell r="F41">
            <v>63902.17</v>
          </cell>
        </row>
        <row r="42">
          <cell r="B42" t="str">
            <v>3232</v>
          </cell>
          <cell r="D42" t="str">
            <v>Usluge tekućeg i investicijskog  održavanja</v>
          </cell>
          <cell r="E42">
            <v>167000</v>
          </cell>
          <cell r="F42">
            <v>113611.79</v>
          </cell>
        </row>
        <row r="43">
          <cell r="B43" t="str">
            <v>3233</v>
          </cell>
          <cell r="D43" t="str">
            <v>Usluge promidžbe i informiranja</v>
          </cell>
          <cell r="E43">
            <v>10000</v>
          </cell>
          <cell r="F43">
            <v>778.41</v>
          </cell>
        </row>
        <row r="44">
          <cell r="B44" t="str">
            <v>3234</v>
          </cell>
          <cell r="D44" t="str">
            <v>Komunalne usluge</v>
          </cell>
          <cell r="E44">
            <v>20000</v>
          </cell>
          <cell r="F44">
            <v>31093.19</v>
          </cell>
        </row>
        <row r="45">
          <cell r="B45" t="str">
            <v>3235</v>
          </cell>
          <cell r="D45" t="str">
            <v>Zakupnine i najamnine</v>
          </cell>
          <cell r="E45">
            <v>125000</v>
          </cell>
          <cell r="F45">
            <v>94981.1</v>
          </cell>
        </row>
        <row r="46">
          <cell r="B46" t="str">
            <v>3236</v>
          </cell>
          <cell r="D46" t="str">
            <v>Zdravstvene i veterinarske usluge</v>
          </cell>
          <cell r="E46">
            <v>2000</v>
          </cell>
          <cell r="F46">
            <v>468.52</v>
          </cell>
        </row>
        <row r="47">
          <cell r="B47" t="str">
            <v>3237</v>
          </cell>
          <cell r="D47" t="str">
            <v>Intelektualne i osobne usluge</v>
          </cell>
          <cell r="E47">
            <v>48600</v>
          </cell>
          <cell r="F47">
            <v>44211.54</v>
          </cell>
        </row>
        <row r="48">
          <cell r="B48" t="str">
            <v>3238</v>
          </cell>
          <cell r="D48" t="str">
            <v>Računalne usluge</v>
          </cell>
          <cell r="E48">
            <v>125000</v>
          </cell>
          <cell r="F48">
            <v>117616.62</v>
          </cell>
        </row>
        <row r="49">
          <cell r="B49" t="str">
            <v>3239</v>
          </cell>
          <cell r="D49" t="str">
            <v>Ostale usluge</v>
          </cell>
          <cell r="E49">
            <v>126200</v>
          </cell>
          <cell r="F49">
            <v>152906.18</v>
          </cell>
        </row>
        <row r="50">
          <cell r="B50">
            <v>3241</v>
          </cell>
          <cell r="D50" t="str">
            <v>Naknade troškova osobama izvan radnog odnosa</v>
          </cell>
          <cell r="E50">
            <v>500</v>
          </cell>
          <cell r="F50">
            <v>0</v>
          </cell>
        </row>
        <row r="51">
          <cell r="B51" t="str">
            <v>3292</v>
          </cell>
          <cell r="D51" t="str">
            <v>Premije osiguranja</v>
          </cell>
          <cell r="E51">
            <v>4000</v>
          </cell>
          <cell r="F51">
            <v>3858.64</v>
          </cell>
        </row>
        <row r="52">
          <cell r="B52" t="str">
            <v>3293</v>
          </cell>
          <cell r="D52" t="str">
            <v>Reprezentacija</v>
          </cell>
          <cell r="E52">
            <v>9000</v>
          </cell>
          <cell r="F52">
            <v>20831.82</v>
          </cell>
        </row>
        <row r="53">
          <cell r="B53" t="str">
            <v>3294</v>
          </cell>
          <cell r="D53" t="str">
            <v>Članarine i norme</v>
          </cell>
          <cell r="E53">
            <v>3300</v>
          </cell>
          <cell r="F53">
            <v>2984.94</v>
          </cell>
        </row>
        <row r="54">
          <cell r="B54" t="str">
            <v>3295</v>
          </cell>
          <cell r="D54" t="str">
            <v>Pristojbe i naknade</v>
          </cell>
          <cell r="E54">
            <v>22500</v>
          </cell>
          <cell r="F54">
            <v>5838.5</v>
          </cell>
        </row>
        <row r="55">
          <cell r="B55" t="str">
            <v>3299</v>
          </cell>
          <cell r="D55" t="str">
            <v>Ostali nespomenuti rashodi poslovanja</v>
          </cell>
          <cell r="E55">
            <v>4000</v>
          </cell>
          <cell r="F55">
            <v>4723.58</v>
          </cell>
        </row>
        <row r="56">
          <cell r="B56" t="str">
            <v>3431</v>
          </cell>
          <cell r="D56" t="str">
            <v>Bankarske usluge i usluge platnog prometa</v>
          </cell>
          <cell r="E56">
            <v>13600</v>
          </cell>
          <cell r="F56">
            <v>19637.03</v>
          </cell>
        </row>
        <row r="57">
          <cell r="B57" t="str">
            <v>3433</v>
          </cell>
          <cell r="D57" t="str">
            <v>Zatezne kamate</v>
          </cell>
          <cell r="E57">
            <v>600</v>
          </cell>
          <cell r="F57">
            <v>637.32000000000005</v>
          </cell>
        </row>
        <row r="59">
          <cell r="B59" t="str">
            <v>3111</v>
          </cell>
          <cell r="D59" t="str">
            <v>Plaće za redovan rad</v>
          </cell>
          <cell r="E59">
            <v>504200</v>
          </cell>
          <cell r="F59">
            <v>608866.72</v>
          </cell>
        </row>
        <row r="60">
          <cell r="B60" t="str">
            <v>3121</v>
          </cell>
          <cell r="D60" t="str">
            <v>Ostali rashodi za zaposlene</v>
          </cell>
          <cell r="E60">
            <v>20000</v>
          </cell>
          <cell r="F60">
            <v>53176.68</v>
          </cell>
        </row>
        <row r="61">
          <cell r="B61" t="str">
            <v>3132</v>
          </cell>
          <cell r="D61" t="str">
            <v>Doprinosi za obvezno zdravstveno osiguranje</v>
          </cell>
          <cell r="E61">
            <v>80300</v>
          </cell>
          <cell r="F61">
            <v>99000.89</v>
          </cell>
        </row>
        <row r="62">
          <cell r="B62" t="str">
            <v>3211</v>
          </cell>
          <cell r="D62" t="str">
            <v>Službena putovanja</v>
          </cell>
          <cell r="E62">
            <v>1600</v>
          </cell>
          <cell r="F62">
            <v>2373.48</v>
          </cell>
        </row>
        <row r="63">
          <cell r="B63" t="str">
            <v>3212</v>
          </cell>
          <cell r="D63" t="str">
            <v>Naknade za prijevoz, za rad na terenu i odvojeni život</v>
          </cell>
          <cell r="E63">
            <v>12600</v>
          </cell>
          <cell r="F63">
            <v>12083.18</v>
          </cell>
        </row>
        <row r="64">
          <cell r="B64" t="str">
            <v>3213</v>
          </cell>
          <cell r="D64" t="str">
            <v>Stručno usavršavanje zaposlenika</v>
          </cell>
          <cell r="E64">
            <v>600</v>
          </cell>
          <cell r="F64">
            <v>753.75</v>
          </cell>
        </row>
        <row r="65">
          <cell r="B65" t="str">
            <v>3214</v>
          </cell>
          <cell r="D65" t="str">
            <v>Ostale naknade troškova zaposlenima</v>
          </cell>
          <cell r="E65">
            <v>1000</v>
          </cell>
          <cell r="F65">
            <v>829.5</v>
          </cell>
        </row>
        <row r="66">
          <cell r="B66" t="str">
            <v>3221</v>
          </cell>
          <cell r="D66" t="str">
            <v>Uredski materijal i ostali materijalni rashodi</v>
          </cell>
          <cell r="E66">
            <v>1900</v>
          </cell>
          <cell r="F66">
            <v>2334.77</v>
          </cell>
        </row>
        <row r="67">
          <cell r="B67" t="str">
            <v>3222</v>
          </cell>
          <cell r="D67" t="str">
            <v>Materijal i sirovine</v>
          </cell>
          <cell r="E67">
            <v>1300</v>
          </cell>
          <cell r="F67">
            <v>1177.73</v>
          </cell>
        </row>
        <row r="68">
          <cell r="B68" t="str">
            <v>3223</v>
          </cell>
          <cell r="D68" t="str">
            <v>Energija</v>
          </cell>
          <cell r="E68">
            <v>12000</v>
          </cell>
          <cell r="F68">
            <v>11589.33</v>
          </cell>
        </row>
        <row r="69">
          <cell r="B69" t="str">
            <v>3224</v>
          </cell>
          <cell r="D69" t="str">
            <v>Materijal i dijelovi za tekuće i investicijsko održavanje</v>
          </cell>
          <cell r="E69">
            <v>100</v>
          </cell>
          <cell r="F69">
            <v>1121.22</v>
          </cell>
        </row>
        <row r="70">
          <cell r="B70" t="str">
            <v>3225</v>
          </cell>
          <cell r="D70" t="str">
            <v>Sitni inventar i autogume</v>
          </cell>
          <cell r="E70">
            <v>1300</v>
          </cell>
          <cell r="F70">
            <v>697.75</v>
          </cell>
        </row>
        <row r="71">
          <cell r="B71" t="str">
            <v>3227</v>
          </cell>
          <cell r="D71" t="str">
            <v>Službena, radna i zaštitna odjeća i obuća</v>
          </cell>
          <cell r="E71">
            <v>200</v>
          </cell>
          <cell r="F71">
            <v>0</v>
          </cell>
        </row>
        <row r="72">
          <cell r="B72" t="str">
            <v>3231</v>
          </cell>
          <cell r="D72" t="str">
            <v>Usluge telefona, interneta, pošte i prijevoza</v>
          </cell>
          <cell r="E72">
            <v>4000</v>
          </cell>
          <cell r="F72">
            <v>2336.14</v>
          </cell>
        </row>
        <row r="73">
          <cell r="B73" t="str">
            <v>3232</v>
          </cell>
          <cell r="D73" t="str">
            <v>Usluge tekućeg i investicijskog  održavanja</v>
          </cell>
          <cell r="E73">
            <v>22300</v>
          </cell>
          <cell r="F73">
            <v>16693.419999999998</v>
          </cell>
        </row>
        <row r="74">
          <cell r="B74" t="str">
            <v>3234</v>
          </cell>
          <cell r="D74" t="str">
            <v>Komunalne usluge</v>
          </cell>
          <cell r="E74">
            <v>8700</v>
          </cell>
          <cell r="F74">
            <v>9361.1200000000008</v>
          </cell>
        </row>
        <row r="75">
          <cell r="B75" t="str">
            <v>3235</v>
          </cell>
          <cell r="D75" t="str">
            <v>Zakupnine i najamnine</v>
          </cell>
          <cell r="E75">
            <v>600</v>
          </cell>
          <cell r="F75">
            <v>3651</v>
          </cell>
        </row>
        <row r="76">
          <cell r="B76" t="str">
            <v>3236</v>
          </cell>
          <cell r="D76" t="str">
            <v>Zdravstvene i veterinarske usluge</v>
          </cell>
          <cell r="E76">
            <v>700</v>
          </cell>
          <cell r="F76">
            <v>0</v>
          </cell>
        </row>
        <row r="77">
          <cell r="B77" t="str">
            <v>3237</v>
          </cell>
          <cell r="D77" t="str">
            <v>Intelektualne i osobne usluge</v>
          </cell>
          <cell r="E77">
            <v>600</v>
          </cell>
          <cell r="F77">
            <v>740</v>
          </cell>
        </row>
        <row r="78">
          <cell r="B78" t="str">
            <v>3238</v>
          </cell>
          <cell r="D78" t="str">
            <v>Računalne usluge</v>
          </cell>
          <cell r="E78">
            <v>5400</v>
          </cell>
          <cell r="F78">
            <v>123.55</v>
          </cell>
        </row>
        <row r="79">
          <cell r="B79" t="str">
            <v>3239</v>
          </cell>
          <cell r="D79" t="str">
            <v>Ostale usluge</v>
          </cell>
          <cell r="E79">
            <v>2700</v>
          </cell>
          <cell r="F79">
            <v>4915.34</v>
          </cell>
        </row>
        <row r="80">
          <cell r="B80" t="str">
            <v>3292</v>
          </cell>
          <cell r="D80" t="str">
            <v>Premije osiguranja</v>
          </cell>
          <cell r="E80">
            <v>1600</v>
          </cell>
          <cell r="F80">
            <v>1668.05</v>
          </cell>
        </row>
        <row r="81">
          <cell r="B81" t="str">
            <v>3293</v>
          </cell>
          <cell r="D81" t="str">
            <v>Reprezentacija</v>
          </cell>
          <cell r="E81">
            <v>800</v>
          </cell>
          <cell r="F81">
            <v>1319.61</v>
          </cell>
        </row>
        <row r="82">
          <cell r="B82" t="str">
            <v>3294</v>
          </cell>
          <cell r="D82" t="str">
            <v>Članarine i norme</v>
          </cell>
          <cell r="E82">
            <v>0</v>
          </cell>
          <cell r="F82">
            <v>0</v>
          </cell>
        </row>
        <row r="83">
          <cell r="B83" t="str">
            <v>3295</v>
          </cell>
          <cell r="D83" t="str">
            <v>Pristojbe i naknade</v>
          </cell>
          <cell r="E83">
            <v>600</v>
          </cell>
          <cell r="F83">
            <v>307.83999999999997</v>
          </cell>
        </row>
        <row r="84">
          <cell r="B84" t="str">
            <v>3299</v>
          </cell>
          <cell r="D84" t="str">
            <v>Ostali nespomenuti rashodi poslovanja</v>
          </cell>
          <cell r="E84">
            <v>2000</v>
          </cell>
          <cell r="F84">
            <v>45</v>
          </cell>
        </row>
        <row r="85">
          <cell r="B85" t="str">
            <v>3431</v>
          </cell>
          <cell r="D85" t="str">
            <v>Bankarske usluge i usluge platnog prometa</v>
          </cell>
          <cell r="E85">
            <v>2700</v>
          </cell>
          <cell r="F85">
            <v>0</v>
          </cell>
        </row>
        <row r="86">
          <cell r="B86" t="str">
            <v>3433</v>
          </cell>
          <cell r="D86" t="str">
            <v>Zatezne kamate</v>
          </cell>
          <cell r="E86">
            <v>200</v>
          </cell>
          <cell r="F86">
            <v>22.55</v>
          </cell>
        </row>
        <row r="88">
          <cell r="B88" t="str">
            <v>3221</v>
          </cell>
          <cell r="D88" t="str">
            <v>Uredski materijal i ostali materijalni rashodi</v>
          </cell>
          <cell r="E88">
            <v>0</v>
          </cell>
          <cell r="F88">
            <v>0</v>
          </cell>
        </row>
        <row r="89">
          <cell r="B89" t="str">
            <v>3222</v>
          </cell>
          <cell r="D89" t="str">
            <v>Materijal i sirovine</v>
          </cell>
          <cell r="E89">
            <v>100</v>
          </cell>
          <cell r="F89">
            <v>39.99</v>
          </cell>
        </row>
        <row r="90">
          <cell r="B90" t="str">
            <v>3225</v>
          </cell>
          <cell r="D90" t="str">
            <v>Sitni inventar i autogume</v>
          </cell>
          <cell r="E90">
            <v>300</v>
          </cell>
          <cell r="F90">
            <v>268.10000000000002</v>
          </cell>
        </row>
        <row r="91">
          <cell r="B91" t="str">
            <v>3235</v>
          </cell>
          <cell r="D91" t="str">
            <v>Zakupnine i najamnine</v>
          </cell>
          <cell r="E91">
            <v>0</v>
          </cell>
          <cell r="F91">
            <v>0</v>
          </cell>
        </row>
        <row r="92">
          <cell r="B92">
            <v>3293</v>
          </cell>
          <cell r="D92" t="str">
            <v>Reprezentacija</v>
          </cell>
          <cell r="E92">
            <v>600</v>
          </cell>
          <cell r="F92">
            <v>0</v>
          </cell>
        </row>
        <row r="94">
          <cell r="B94" t="str">
            <v>3211</v>
          </cell>
          <cell r="D94" t="str">
            <v>Službena putovanja</v>
          </cell>
          <cell r="E94">
            <v>18000</v>
          </cell>
          <cell r="F94">
            <v>21669.13</v>
          </cell>
        </row>
        <row r="95">
          <cell r="B95" t="str">
            <v>3213</v>
          </cell>
          <cell r="D95" t="str">
            <v>Stručno usavršavanje zaposlenika</v>
          </cell>
          <cell r="E95">
            <v>4000</v>
          </cell>
          <cell r="F95">
            <v>2150</v>
          </cell>
        </row>
        <row r="96">
          <cell r="B96" t="str">
            <v>3232</v>
          </cell>
          <cell r="D96" t="str">
            <v>Usluge tekućeg i investicijskog  održavanja</v>
          </cell>
          <cell r="E96">
            <v>0</v>
          </cell>
          <cell r="F96">
            <v>0</v>
          </cell>
        </row>
        <row r="97">
          <cell r="B97" t="str">
            <v>3233</v>
          </cell>
          <cell r="D97" t="str">
            <v>Usluge promidžbe i informiranja</v>
          </cell>
          <cell r="E97">
            <v>4000</v>
          </cell>
          <cell r="F97">
            <v>2327</v>
          </cell>
        </row>
        <row r="98">
          <cell r="B98" t="str">
            <v>3237</v>
          </cell>
          <cell r="D98" t="str">
            <v>Intelektualne i osobne usluge</v>
          </cell>
          <cell r="E98">
            <v>0</v>
          </cell>
          <cell r="F98">
            <v>0</v>
          </cell>
        </row>
        <row r="99">
          <cell r="B99">
            <v>3239</v>
          </cell>
          <cell r="D99" t="str">
            <v>Ostale usluge</v>
          </cell>
          <cell r="E99">
            <v>0</v>
          </cell>
          <cell r="F99">
            <v>786.71</v>
          </cell>
        </row>
        <row r="100">
          <cell r="B100" t="str">
            <v>3293</v>
          </cell>
          <cell r="D100" t="str">
            <v>Reprezentacija</v>
          </cell>
          <cell r="E100">
            <v>2000</v>
          </cell>
          <cell r="F100">
            <v>267.64999999999998</v>
          </cell>
        </row>
        <row r="105">
          <cell r="B105" t="str">
            <v>3214</v>
          </cell>
          <cell r="D105" t="str">
            <v>Ostale naknade troškova zaposlenima</v>
          </cell>
          <cell r="E105">
            <v>5000</v>
          </cell>
          <cell r="F105">
            <v>0</v>
          </cell>
        </row>
        <row r="106">
          <cell r="B106" t="str">
            <v>3221</v>
          </cell>
          <cell r="D106" t="str">
            <v>Uredski materijal i ostali materijalni rashodi</v>
          </cell>
          <cell r="E106">
            <v>60000</v>
          </cell>
          <cell r="F106">
            <v>60000</v>
          </cell>
        </row>
        <row r="107">
          <cell r="B107" t="str">
            <v>3222</v>
          </cell>
          <cell r="D107" t="str">
            <v>Materijal i sirovine</v>
          </cell>
          <cell r="E107">
            <v>11200</v>
          </cell>
          <cell r="F107">
            <v>5063.03</v>
          </cell>
        </row>
        <row r="108">
          <cell r="B108" t="str">
            <v>3231</v>
          </cell>
          <cell r="D108" t="str">
            <v>Usluge telefona, interneta, pošte i prijevoza</v>
          </cell>
          <cell r="E108">
            <v>0</v>
          </cell>
          <cell r="F108">
            <v>0</v>
          </cell>
        </row>
        <row r="109">
          <cell r="B109" t="str">
            <v>3232</v>
          </cell>
          <cell r="D109" t="str">
            <v>Usluge tekućeg i investicijskog  održavanja</v>
          </cell>
          <cell r="E109">
            <v>0</v>
          </cell>
          <cell r="F109">
            <v>0</v>
          </cell>
        </row>
        <row r="110">
          <cell r="B110" t="str">
            <v>3233</v>
          </cell>
          <cell r="D110" t="str">
            <v>Usluge promidžbe i informiranja</v>
          </cell>
          <cell r="E110">
            <v>900</v>
          </cell>
          <cell r="F110">
            <v>591.25</v>
          </cell>
        </row>
        <row r="111">
          <cell r="B111" t="str">
            <v>3235</v>
          </cell>
          <cell r="D111" t="str">
            <v>Zakupnine i najamnine</v>
          </cell>
          <cell r="E111">
            <v>0</v>
          </cell>
          <cell r="F111">
            <v>0</v>
          </cell>
        </row>
        <row r="112">
          <cell r="B112" t="str">
            <v>3237</v>
          </cell>
          <cell r="D112" t="str">
            <v>Intelektualne i osobne usluge</v>
          </cell>
          <cell r="E112">
            <v>58800</v>
          </cell>
          <cell r="F112">
            <v>74866.350000000006</v>
          </cell>
        </row>
        <row r="113">
          <cell r="B113" t="str">
            <v>3238</v>
          </cell>
          <cell r="D113" t="str">
            <v>Računalne usluge</v>
          </cell>
          <cell r="E113">
            <v>23000</v>
          </cell>
          <cell r="F113">
            <v>23000</v>
          </cell>
        </row>
        <row r="114">
          <cell r="B114" t="str">
            <v>3239</v>
          </cell>
          <cell r="D114" t="str">
            <v>Ostale usluge</v>
          </cell>
          <cell r="E114">
            <v>21100</v>
          </cell>
          <cell r="F114">
            <v>12485</v>
          </cell>
        </row>
        <row r="115">
          <cell r="B115" t="str">
            <v>3293</v>
          </cell>
          <cell r="D115" t="str">
            <v>Reprezentacija</v>
          </cell>
          <cell r="E115">
            <v>0</v>
          </cell>
          <cell r="F115">
            <v>0</v>
          </cell>
        </row>
        <row r="117">
          <cell r="B117" t="str">
            <v>3211</v>
          </cell>
          <cell r="D117" t="str">
            <v>Službena putovanja</v>
          </cell>
          <cell r="E117">
            <v>20000</v>
          </cell>
          <cell r="F117">
            <v>16665.310000000001</v>
          </cell>
        </row>
        <row r="118">
          <cell r="B118" t="str">
            <v>3213</v>
          </cell>
          <cell r="D118" t="str">
            <v>Stručno usavršavanje zaposlenika</v>
          </cell>
          <cell r="E118">
            <v>2000</v>
          </cell>
          <cell r="F118">
            <v>1371.47</v>
          </cell>
        </row>
        <row r="119">
          <cell r="B119" t="str">
            <v>3221</v>
          </cell>
          <cell r="D119" t="str">
            <v>Uredski materijal i ostali materijalni rashodi</v>
          </cell>
          <cell r="E119">
            <v>1000</v>
          </cell>
          <cell r="F119">
            <v>37892.080000000002</v>
          </cell>
        </row>
        <row r="120">
          <cell r="B120" t="str">
            <v>3222</v>
          </cell>
          <cell r="D120" t="str">
            <v>Materijal i sirovine</v>
          </cell>
          <cell r="E120">
            <v>1000</v>
          </cell>
          <cell r="F120">
            <v>807.99</v>
          </cell>
        </row>
        <row r="121">
          <cell r="B121" t="str">
            <v>3225</v>
          </cell>
          <cell r="D121" t="str">
            <v>Sitni inventar i autogume</v>
          </cell>
          <cell r="E121">
            <v>1000</v>
          </cell>
          <cell r="F121">
            <v>575.54999999999995</v>
          </cell>
        </row>
        <row r="122">
          <cell r="B122" t="str">
            <v>3231</v>
          </cell>
          <cell r="D122" t="str">
            <v>Usluge telefona, interneta, pošte i prijevoza</v>
          </cell>
          <cell r="E122">
            <v>500</v>
          </cell>
          <cell r="F122">
            <v>44.29</v>
          </cell>
        </row>
        <row r="123">
          <cell r="B123" t="str">
            <v>3233</v>
          </cell>
          <cell r="D123" t="str">
            <v>Usluge promidžbe i informiranja</v>
          </cell>
          <cell r="E123">
            <v>700</v>
          </cell>
          <cell r="F123">
            <v>0</v>
          </cell>
        </row>
        <row r="124">
          <cell r="B124" t="str">
            <v>3235</v>
          </cell>
          <cell r="D124" t="str">
            <v>Zakupnine i najamnine</v>
          </cell>
          <cell r="E124">
            <v>0</v>
          </cell>
          <cell r="F124">
            <v>219.65</v>
          </cell>
        </row>
        <row r="125">
          <cell r="B125" t="str">
            <v>3237</v>
          </cell>
          <cell r="D125" t="str">
            <v>Intelektualne i osobne usluge</v>
          </cell>
          <cell r="E125">
            <v>22100</v>
          </cell>
          <cell r="F125">
            <v>28730.21</v>
          </cell>
        </row>
        <row r="126">
          <cell r="B126" t="str">
            <v>3238</v>
          </cell>
          <cell r="D126" t="str">
            <v>Računalne usluge</v>
          </cell>
          <cell r="E126">
            <v>1000</v>
          </cell>
          <cell r="F126">
            <v>2064.25</v>
          </cell>
        </row>
        <row r="127">
          <cell r="B127" t="str">
            <v>3239</v>
          </cell>
          <cell r="D127" t="str">
            <v>Ostale usluge</v>
          </cell>
          <cell r="E127">
            <v>4000</v>
          </cell>
          <cell r="F127">
            <v>3418.16</v>
          </cell>
        </row>
        <row r="128">
          <cell r="B128" t="str">
            <v>3293</v>
          </cell>
          <cell r="D128" t="str">
            <v>Reprezentacija</v>
          </cell>
          <cell r="E128">
            <v>3000</v>
          </cell>
          <cell r="F128">
            <v>2599.84</v>
          </cell>
        </row>
        <row r="130">
          <cell r="B130" t="str">
            <v>3211</v>
          </cell>
          <cell r="D130" t="str">
            <v>Službena putovanja</v>
          </cell>
          <cell r="E130">
            <v>6000</v>
          </cell>
          <cell r="F130">
            <v>3575.79</v>
          </cell>
        </row>
        <row r="131">
          <cell r="B131" t="str">
            <v>3213</v>
          </cell>
          <cell r="D131" t="str">
            <v>Stručno usavršavanje zaposlenika</v>
          </cell>
          <cell r="E131">
            <v>4000</v>
          </cell>
          <cell r="F131">
            <v>1395</v>
          </cell>
        </row>
        <row r="132">
          <cell r="B132" t="str">
            <v>3221</v>
          </cell>
          <cell r="D132" t="str">
            <v>Uredski materijal i ostali materijalni rashodi</v>
          </cell>
          <cell r="E132">
            <v>0</v>
          </cell>
          <cell r="F132">
            <v>0</v>
          </cell>
        </row>
        <row r="133">
          <cell r="B133" t="str">
            <v>3222</v>
          </cell>
          <cell r="D133" t="str">
            <v>Materijal i sirovine</v>
          </cell>
          <cell r="E133">
            <v>2000</v>
          </cell>
          <cell r="F133">
            <v>636.55999999999995</v>
          </cell>
        </row>
        <row r="134">
          <cell r="B134" t="str">
            <v>3223</v>
          </cell>
          <cell r="D134" t="str">
            <v>Energija</v>
          </cell>
          <cell r="E134">
            <v>0</v>
          </cell>
          <cell r="F134">
            <v>0</v>
          </cell>
        </row>
        <row r="135">
          <cell r="B135" t="str">
            <v>3224</v>
          </cell>
          <cell r="D135" t="str">
            <v>Materijal i dijelovi za tekuće i investicijsko održavanje</v>
          </cell>
          <cell r="E135">
            <v>0</v>
          </cell>
          <cell r="F135">
            <v>0</v>
          </cell>
        </row>
        <row r="136">
          <cell r="B136" t="str">
            <v>3225</v>
          </cell>
          <cell r="D136" t="str">
            <v>Sitni inventar i autogume</v>
          </cell>
          <cell r="E136">
            <v>0</v>
          </cell>
          <cell r="F136">
            <v>0</v>
          </cell>
        </row>
        <row r="137">
          <cell r="B137" t="str">
            <v>3231</v>
          </cell>
          <cell r="D137" t="str">
            <v>Usluge telefona, interneta, pošte i prijevoza</v>
          </cell>
          <cell r="E137">
            <v>0</v>
          </cell>
          <cell r="F137">
            <v>0</v>
          </cell>
        </row>
        <row r="138">
          <cell r="B138" t="str">
            <v>3233</v>
          </cell>
          <cell r="D138" t="str">
            <v>Usluge promidžbe i informiranja</v>
          </cell>
          <cell r="E138">
            <v>1800</v>
          </cell>
          <cell r="F138">
            <v>364.8</v>
          </cell>
        </row>
        <row r="139">
          <cell r="B139" t="str">
            <v>3235</v>
          </cell>
          <cell r="D139" t="str">
            <v>Zakupnine i najamnine</v>
          </cell>
          <cell r="E139">
            <v>0</v>
          </cell>
          <cell r="F139">
            <v>0</v>
          </cell>
        </row>
        <row r="140">
          <cell r="B140" t="str">
            <v>3237</v>
          </cell>
          <cell r="D140" t="str">
            <v>Intelektualne i osobne usluge</v>
          </cell>
          <cell r="E140">
            <v>28500</v>
          </cell>
          <cell r="F140">
            <v>27515.66</v>
          </cell>
        </row>
        <row r="141">
          <cell r="B141" t="str">
            <v>3238</v>
          </cell>
          <cell r="D141" t="str">
            <v>Računalne usluge</v>
          </cell>
          <cell r="E141">
            <v>13500</v>
          </cell>
          <cell r="F141">
            <v>14082.5</v>
          </cell>
        </row>
        <row r="142">
          <cell r="B142" t="str">
            <v>3239</v>
          </cell>
          <cell r="D142" t="str">
            <v>Ostale usluge</v>
          </cell>
          <cell r="E142">
            <v>11000</v>
          </cell>
          <cell r="F142">
            <v>18570.39</v>
          </cell>
        </row>
        <row r="143">
          <cell r="B143" t="str">
            <v>3241</v>
          </cell>
          <cell r="D143" t="str">
            <v>Naknade troškova osobama izvan radnog odnosa</v>
          </cell>
          <cell r="E143">
            <v>1000</v>
          </cell>
          <cell r="F143">
            <v>407.3</v>
          </cell>
        </row>
        <row r="144">
          <cell r="B144" t="str">
            <v>3293</v>
          </cell>
          <cell r="D144" t="str">
            <v>Reprezentacija</v>
          </cell>
          <cell r="E144">
            <v>3300</v>
          </cell>
          <cell r="F144">
            <v>1635.18</v>
          </cell>
        </row>
        <row r="145">
          <cell r="B145" t="str">
            <v>3294</v>
          </cell>
          <cell r="D145" t="str">
            <v>Članarine i norme</v>
          </cell>
          <cell r="E145">
            <v>2000</v>
          </cell>
          <cell r="F145">
            <v>2000</v>
          </cell>
        </row>
        <row r="146">
          <cell r="B146" t="str">
            <v>3299</v>
          </cell>
          <cell r="D146" t="str">
            <v>Ostali nespomenuti rashodi poslovanja</v>
          </cell>
          <cell r="E146">
            <v>0</v>
          </cell>
          <cell r="F146">
            <v>0</v>
          </cell>
        </row>
        <row r="148">
          <cell r="B148" t="str">
            <v>3221</v>
          </cell>
          <cell r="D148" t="str">
            <v>Uredski materijal i ostali materijalni rashodi</v>
          </cell>
          <cell r="E148">
            <v>100</v>
          </cell>
          <cell r="F148">
            <v>10.5</v>
          </cell>
        </row>
        <row r="149">
          <cell r="B149" t="str">
            <v>3222</v>
          </cell>
          <cell r="D149" t="str">
            <v>Materijal i sirovine</v>
          </cell>
          <cell r="E149">
            <v>400</v>
          </cell>
          <cell r="F149">
            <v>7.98</v>
          </cell>
        </row>
        <row r="150">
          <cell r="B150" t="str">
            <v>3224</v>
          </cell>
          <cell r="D150" t="str">
            <v>Materijal i dijelovi za tekuće i investicijsko održavanje</v>
          </cell>
          <cell r="E150">
            <v>100</v>
          </cell>
          <cell r="F150">
            <v>0</v>
          </cell>
        </row>
        <row r="151">
          <cell r="B151">
            <v>3225</v>
          </cell>
          <cell r="D151" t="str">
            <v>Sitni inventar i autogume</v>
          </cell>
          <cell r="E151">
            <v>0</v>
          </cell>
          <cell r="F151">
            <v>46.55</v>
          </cell>
        </row>
        <row r="152">
          <cell r="B152" t="str">
            <v>3233</v>
          </cell>
          <cell r="D152" t="str">
            <v>Usluge promidžbe i informiranja</v>
          </cell>
          <cell r="E152">
            <v>800</v>
          </cell>
          <cell r="F152">
            <v>1023.75</v>
          </cell>
        </row>
        <row r="153">
          <cell r="B153" t="str">
            <v>3237</v>
          </cell>
          <cell r="D153" t="str">
            <v>Intelektualne i osobne usluge</v>
          </cell>
          <cell r="E153">
            <v>1100</v>
          </cell>
          <cell r="F153">
            <v>730.64</v>
          </cell>
        </row>
        <row r="154">
          <cell r="B154" t="str">
            <v>3239</v>
          </cell>
          <cell r="D154" t="str">
            <v>Ostale usluge</v>
          </cell>
          <cell r="E154">
            <v>400</v>
          </cell>
          <cell r="F154">
            <v>343.75</v>
          </cell>
        </row>
        <row r="160">
          <cell r="B160" t="str">
            <v>3235</v>
          </cell>
          <cell r="D160" t="str">
            <v>Zakupnine i najamnine</v>
          </cell>
          <cell r="E160">
            <v>0</v>
          </cell>
          <cell r="F160">
            <v>185500</v>
          </cell>
        </row>
        <row r="161">
          <cell r="B161" t="str">
            <v>3722</v>
          </cell>
          <cell r="D161" t="str">
            <v>Naknade građanima i kućanstvima u naravi</v>
          </cell>
          <cell r="E161">
            <v>185500</v>
          </cell>
          <cell r="F161">
            <v>0</v>
          </cell>
        </row>
        <row r="164">
          <cell r="B164" t="str">
            <v>3222</v>
          </cell>
          <cell r="D164" t="str">
            <v>Materijal i sirovine</v>
          </cell>
          <cell r="E164">
            <v>0</v>
          </cell>
          <cell r="F164">
            <v>0</v>
          </cell>
        </row>
        <row r="165">
          <cell r="B165" t="str">
            <v>3232</v>
          </cell>
          <cell r="D165" t="str">
            <v>Usluge tekućeg i investicijskog  održavanja</v>
          </cell>
          <cell r="E165">
            <v>0</v>
          </cell>
          <cell r="F165">
            <v>0</v>
          </cell>
        </row>
        <row r="166">
          <cell r="B166" t="str">
            <v>4221</v>
          </cell>
          <cell r="D166" t="str">
            <v>Uredska oprema i namještaj</v>
          </cell>
          <cell r="E166">
            <v>92800</v>
          </cell>
          <cell r="F166">
            <v>47867.78</v>
          </cell>
        </row>
        <row r="167">
          <cell r="B167" t="str">
            <v>4223</v>
          </cell>
          <cell r="D167" t="str">
            <v>Oprema za održavanje i zaštitu</v>
          </cell>
          <cell r="E167">
            <v>0</v>
          </cell>
          <cell r="F167">
            <v>0</v>
          </cell>
        </row>
        <row r="168">
          <cell r="B168" t="str">
            <v>4231</v>
          </cell>
          <cell r="D168" t="str">
            <v>Prijevozna sredstva u cestovnom prometu</v>
          </cell>
          <cell r="E168">
            <v>168000</v>
          </cell>
          <cell r="F168">
            <v>0</v>
          </cell>
        </row>
        <row r="169">
          <cell r="B169" t="str">
            <v>4241</v>
          </cell>
          <cell r="D169" t="str">
            <v>Knjige</v>
          </cell>
          <cell r="E169">
            <v>1426000</v>
          </cell>
          <cell r="F169">
            <v>1300000</v>
          </cell>
        </row>
        <row r="170">
          <cell r="B170" t="str">
            <v>4511</v>
          </cell>
          <cell r="D170" t="str">
            <v>Dodatna ulaganja na građevinskim objektima</v>
          </cell>
          <cell r="E170">
            <v>430400</v>
          </cell>
          <cell r="F170">
            <v>9392.9599999999991</v>
          </cell>
        </row>
        <row r="172">
          <cell r="B172" t="str">
            <v>4221</v>
          </cell>
          <cell r="D172" t="str">
            <v>Uredska oprema i namještaj</v>
          </cell>
          <cell r="E172">
            <v>36500</v>
          </cell>
          <cell r="F172">
            <v>78426.460000000006</v>
          </cell>
        </row>
        <row r="173">
          <cell r="B173" t="str">
            <v>4222</v>
          </cell>
          <cell r="D173" t="str">
            <v>Komunikacijska oprema</v>
          </cell>
          <cell r="E173">
            <v>0</v>
          </cell>
          <cell r="F173">
            <v>0</v>
          </cell>
        </row>
        <row r="174">
          <cell r="B174" t="str">
            <v>4223</v>
          </cell>
          <cell r="D174" t="str">
            <v>Oprema za održavanje i zaštitu</v>
          </cell>
          <cell r="E174">
            <v>15000</v>
          </cell>
          <cell r="F174">
            <v>14600.54</v>
          </cell>
        </row>
        <row r="175">
          <cell r="B175" t="str">
            <v>4226</v>
          </cell>
          <cell r="D175" t="str">
            <v>Sportska i glazbena oprema</v>
          </cell>
          <cell r="E175">
            <v>0</v>
          </cell>
          <cell r="F175">
            <v>0</v>
          </cell>
        </row>
        <row r="176">
          <cell r="B176" t="str">
            <v>4231</v>
          </cell>
          <cell r="D176" t="str">
            <v>Prijevozna sredstva u cestovnom prometu</v>
          </cell>
          <cell r="E176">
            <v>1500</v>
          </cell>
          <cell r="F176">
            <v>1500</v>
          </cell>
        </row>
        <row r="177">
          <cell r="B177" t="str">
            <v>4241</v>
          </cell>
          <cell r="D177" t="str">
            <v>Knjige</v>
          </cell>
          <cell r="E177">
            <v>0</v>
          </cell>
          <cell r="F177">
            <v>-8.33</v>
          </cell>
        </row>
        <row r="178">
          <cell r="B178" t="str">
            <v>4262</v>
          </cell>
          <cell r="D178" t="str">
            <v>Ulaganja u računalne programe</v>
          </cell>
          <cell r="E178">
            <v>4500</v>
          </cell>
          <cell r="F178">
            <v>3208.98</v>
          </cell>
        </row>
        <row r="179">
          <cell r="B179" t="str">
            <v>4511</v>
          </cell>
          <cell r="D179" t="str">
            <v>Dodatna ulaganja na građevinskim objektima</v>
          </cell>
          <cell r="E179">
            <v>0</v>
          </cell>
          <cell r="F179">
            <v>0</v>
          </cell>
        </row>
        <row r="181">
          <cell r="B181" t="str">
            <v>4221</v>
          </cell>
          <cell r="D181" t="str">
            <v>Uredska oprema i namještaj</v>
          </cell>
          <cell r="E181">
            <v>0</v>
          </cell>
          <cell r="F181">
            <v>221.98</v>
          </cell>
        </row>
        <row r="182">
          <cell r="B182" t="str">
            <v>4223</v>
          </cell>
          <cell r="D182" t="str">
            <v>Oprema za održavanje i zaštitu</v>
          </cell>
          <cell r="E182">
            <v>0</v>
          </cell>
          <cell r="F182">
            <v>0</v>
          </cell>
        </row>
        <row r="183">
          <cell r="B183" t="str">
            <v>4241</v>
          </cell>
          <cell r="D183" t="str">
            <v>Knjige</v>
          </cell>
          <cell r="E183">
            <v>548500</v>
          </cell>
          <cell r="F183">
            <v>701456.57</v>
          </cell>
        </row>
        <row r="185">
          <cell r="B185" t="str">
            <v>4221</v>
          </cell>
          <cell r="D185" t="str">
            <v>Uredska oprema i namještaj</v>
          </cell>
          <cell r="E185">
            <v>800</v>
          </cell>
          <cell r="F185">
            <v>2221.79</v>
          </cell>
        </row>
        <row r="186">
          <cell r="B186" t="str">
            <v>4241</v>
          </cell>
          <cell r="D186" t="str">
            <v>Knjige</v>
          </cell>
          <cell r="E186">
            <v>0</v>
          </cell>
          <cell r="F186">
            <v>0</v>
          </cell>
        </row>
        <row r="192">
          <cell r="B192" t="str">
            <v>4221</v>
          </cell>
          <cell r="D192" t="str">
            <v>Uredska oprema i namještaj</v>
          </cell>
          <cell r="E192">
            <v>0</v>
          </cell>
          <cell r="F192">
            <v>149</v>
          </cell>
        </row>
        <row r="193">
          <cell r="B193" t="str">
            <v>4241</v>
          </cell>
          <cell r="D193" t="str">
            <v>Knjige</v>
          </cell>
          <cell r="E193">
            <v>100000</v>
          </cell>
          <cell r="F193">
            <v>93892.19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6"/>
  <sheetViews>
    <sheetView showGridLines="0" workbookViewId="0">
      <pane ySplit="1" topLeftCell="A2" activePane="bottomLeft" state="frozenSplit"/>
      <selection pane="bottomLeft" activeCell="F37" sqref="F37"/>
    </sheetView>
  </sheetViews>
  <sheetFormatPr defaultRowHeight="12.75" x14ac:dyDescent="0.2"/>
  <cols>
    <col min="1" max="1" width="1.28515625" customWidth="1"/>
    <col min="2" max="2" width="6.7109375" customWidth="1"/>
    <col min="3" max="3" width="8" customWidth="1"/>
    <col min="4" max="16" width="15.5703125" customWidth="1"/>
  </cols>
  <sheetData>
    <row r="1" spans="2:11" ht="6.95" customHeight="1" x14ac:dyDescent="0.2"/>
    <row r="2" spans="2:11" ht="12.6" customHeight="1" x14ac:dyDescent="0.2">
      <c r="B2" s="1" t="s">
        <v>0</v>
      </c>
    </row>
    <row r="3" spans="2:11" ht="14.1" customHeight="1" x14ac:dyDescent="0.2">
      <c r="B3" s="1" t="s">
        <v>1</v>
      </c>
    </row>
    <row r="4" spans="2:11" ht="12.6" customHeight="1" x14ac:dyDescent="0.2">
      <c r="B4" s="1" t="s">
        <v>2</v>
      </c>
    </row>
    <row r="6" spans="2:11" ht="3.4" customHeight="1" x14ac:dyDescent="0.2"/>
    <row r="7" spans="2:11" ht="18" customHeight="1" x14ac:dyDescent="0.2"/>
    <row r="8" spans="2:11" ht="3.2" customHeight="1" x14ac:dyDescent="0.2"/>
    <row r="9" spans="2:11" ht="14.1" customHeight="1" x14ac:dyDescent="0.2"/>
    <row r="10" spans="2:11" ht="7.15" customHeight="1" x14ac:dyDescent="0.2"/>
    <row r="11" spans="2:11" ht="12.6" customHeight="1" x14ac:dyDescent="0.2">
      <c r="B11" s="2" t="s">
        <v>3</v>
      </c>
      <c r="C11" s="2" t="s">
        <v>4</v>
      </c>
      <c r="D11" s="2" t="s">
        <v>5</v>
      </c>
      <c r="E11" s="3" t="s">
        <v>6</v>
      </c>
      <c r="F11" s="3" t="s">
        <v>7</v>
      </c>
      <c r="G11" s="3" t="s">
        <v>8</v>
      </c>
      <c r="H11" s="3" t="s">
        <v>10</v>
      </c>
      <c r="I11" s="3" t="s">
        <v>11</v>
      </c>
      <c r="J11" s="3" t="s">
        <v>12</v>
      </c>
      <c r="K11" s="3" t="s">
        <v>13</v>
      </c>
    </row>
    <row r="12" spans="2:11" ht="12.6" customHeight="1" x14ac:dyDescent="0.2">
      <c r="B12" s="4" t="s">
        <v>14</v>
      </c>
      <c r="C12" s="4" t="s">
        <v>15</v>
      </c>
      <c r="D12" s="4" t="s">
        <v>16</v>
      </c>
      <c r="E12" s="5">
        <v>1500</v>
      </c>
      <c r="F12" s="5">
        <v>1500</v>
      </c>
      <c r="G12" s="5">
        <v>0</v>
      </c>
      <c r="H12" s="5">
        <v>1500</v>
      </c>
      <c r="I12" s="5">
        <v>0</v>
      </c>
      <c r="J12" s="5">
        <v>0</v>
      </c>
      <c r="K12" s="6">
        <v>1</v>
      </c>
    </row>
    <row r="13" spans="2:11" x14ac:dyDescent="0.2">
      <c r="B13" s="4" t="s">
        <v>17</v>
      </c>
      <c r="C13" s="4" t="s">
        <v>18</v>
      </c>
      <c r="D13" s="4" t="s">
        <v>19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6">
        <v>0</v>
      </c>
    </row>
    <row r="14" spans="2:11" ht="12.6" customHeight="1" x14ac:dyDescent="0.2">
      <c r="B14" s="4" t="s">
        <v>20</v>
      </c>
      <c r="C14" s="4" t="s">
        <v>21</v>
      </c>
      <c r="D14" s="4" t="s">
        <v>22</v>
      </c>
      <c r="E14" s="5">
        <v>4500</v>
      </c>
      <c r="F14" s="5">
        <v>145.97999999999999</v>
      </c>
      <c r="G14" s="5">
        <v>4354.0200000000004</v>
      </c>
      <c r="H14" s="5">
        <v>145.97999999999999</v>
      </c>
      <c r="I14" s="5">
        <v>0</v>
      </c>
      <c r="J14" s="5">
        <v>4354.0200000000004</v>
      </c>
      <c r="K14" s="6">
        <v>3.2000000000000001E-2</v>
      </c>
    </row>
    <row r="15" spans="2:11" ht="12.6" customHeight="1" x14ac:dyDescent="0.2">
      <c r="B15" s="4" t="s">
        <v>23</v>
      </c>
      <c r="C15" s="4" t="s">
        <v>24</v>
      </c>
      <c r="D15" s="4" t="s">
        <v>25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6">
        <v>0</v>
      </c>
    </row>
    <row r="16" spans="2:11" ht="12.6" customHeight="1" x14ac:dyDescent="0.2">
      <c r="B16" s="7" t="s">
        <v>26</v>
      </c>
      <c r="E16" s="8">
        <v>548500</v>
      </c>
      <c r="F16" s="8">
        <v>391956.57</v>
      </c>
      <c r="G16" s="8">
        <v>156543.43</v>
      </c>
      <c r="H16" s="8">
        <v>391956.57</v>
      </c>
      <c r="I16" s="8">
        <v>0</v>
      </c>
      <c r="J16" s="8">
        <v>156543.43</v>
      </c>
      <c r="K16" s="9">
        <v>0.71499999999999997</v>
      </c>
    </row>
    <row r="17" spans="2:11" ht="12.6" customHeight="1" x14ac:dyDescent="0.2">
      <c r="B17" s="4" t="s">
        <v>27</v>
      </c>
      <c r="C17" s="4" t="s">
        <v>28</v>
      </c>
      <c r="D17" s="4" t="s">
        <v>29</v>
      </c>
      <c r="E17" s="5">
        <v>0</v>
      </c>
      <c r="F17" s="5">
        <v>510.93</v>
      </c>
      <c r="G17" s="5">
        <v>-510.93</v>
      </c>
      <c r="H17" s="5">
        <v>510.93</v>
      </c>
      <c r="I17" s="5">
        <v>0</v>
      </c>
      <c r="J17" s="5">
        <v>-510.93</v>
      </c>
      <c r="K17" s="6">
        <v>0</v>
      </c>
    </row>
    <row r="18" spans="2:11" ht="12.6" customHeight="1" x14ac:dyDescent="0.2">
      <c r="B18" s="4" t="s">
        <v>30</v>
      </c>
      <c r="C18" s="4" t="s">
        <v>31</v>
      </c>
      <c r="D18" s="4" t="s">
        <v>32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6">
        <v>0</v>
      </c>
    </row>
    <row r="19" spans="2:11" x14ac:dyDescent="0.2">
      <c r="B19" s="4" t="s">
        <v>17</v>
      </c>
      <c r="C19" s="4" t="s">
        <v>33</v>
      </c>
      <c r="D19" s="4" t="s">
        <v>19</v>
      </c>
      <c r="E19" s="5">
        <v>548500</v>
      </c>
      <c r="F19" s="5">
        <v>391445.64</v>
      </c>
      <c r="G19" s="5">
        <v>157054.35999999999</v>
      </c>
      <c r="H19" s="5">
        <v>391445.64</v>
      </c>
      <c r="I19" s="5">
        <v>0</v>
      </c>
      <c r="J19" s="5">
        <v>157054.35999999999</v>
      </c>
      <c r="K19" s="6">
        <v>0.71399999999999997</v>
      </c>
    </row>
    <row r="20" spans="2:11" ht="12.6" customHeight="1" x14ac:dyDescent="0.2">
      <c r="B20" s="7" t="s">
        <v>34</v>
      </c>
      <c r="E20" s="8">
        <v>800</v>
      </c>
      <c r="F20" s="8">
        <v>2221.79</v>
      </c>
      <c r="G20" s="8">
        <v>-1421.79</v>
      </c>
      <c r="H20" s="8">
        <v>2221.79</v>
      </c>
      <c r="I20" s="8">
        <v>0</v>
      </c>
      <c r="J20" s="8">
        <v>-1421.79</v>
      </c>
      <c r="K20" s="9">
        <v>2.7770000000000001</v>
      </c>
    </row>
    <row r="21" spans="2:11" ht="12.6" customHeight="1" x14ac:dyDescent="0.2">
      <c r="B21" s="4" t="s">
        <v>27</v>
      </c>
      <c r="C21" s="4" t="s">
        <v>35</v>
      </c>
      <c r="D21" s="4" t="s">
        <v>29</v>
      </c>
      <c r="E21" s="5">
        <v>800</v>
      </c>
      <c r="F21" s="5">
        <v>2221.79</v>
      </c>
      <c r="G21" s="5">
        <v>-1421.79</v>
      </c>
      <c r="H21" s="5">
        <v>2221.79</v>
      </c>
      <c r="I21" s="5">
        <v>0</v>
      </c>
      <c r="J21" s="5">
        <v>-1421.79</v>
      </c>
      <c r="K21" s="6">
        <v>2.7770000000000001</v>
      </c>
    </row>
    <row r="22" spans="2:11" x14ac:dyDescent="0.2">
      <c r="B22" s="4" t="s">
        <v>17</v>
      </c>
      <c r="C22" s="4" t="s">
        <v>36</v>
      </c>
      <c r="D22" s="4" t="s">
        <v>19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6">
        <v>0</v>
      </c>
    </row>
    <row r="23" spans="2:11" ht="12.6" customHeight="1" x14ac:dyDescent="0.2">
      <c r="B23" s="7" t="s">
        <v>37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</row>
    <row r="24" spans="2:11" ht="12.6" customHeight="1" x14ac:dyDescent="0.2">
      <c r="B24" s="4" t="s">
        <v>38</v>
      </c>
      <c r="C24" s="4" t="s">
        <v>39</v>
      </c>
      <c r="D24" s="4" t="s">
        <v>40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6">
        <v>0</v>
      </c>
    </row>
    <row r="25" spans="2:11" ht="12.6" customHeight="1" x14ac:dyDescent="0.2">
      <c r="B25" s="4" t="s">
        <v>41</v>
      </c>
      <c r="C25" s="4" t="s">
        <v>42</v>
      </c>
      <c r="D25" s="4" t="s">
        <v>43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6">
        <v>0</v>
      </c>
    </row>
    <row r="26" spans="2:11" ht="12.6" customHeight="1" x14ac:dyDescent="0.2">
      <c r="B26" s="4" t="s">
        <v>23</v>
      </c>
      <c r="C26" s="4" t="s">
        <v>44</v>
      </c>
      <c r="D26" s="4" t="s">
        <v>25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6">
        <v>0</v>
      </c>
    </row>
    <row r="27" spans="2:11" ht="12.6" customHeight="1" x14ac:dyDescent="0.2">
      <c r="B27" s="7" t="s">
        <v>45</v>
      </c>
      <c r="E27" s="8">
        <v>100000</v>
      </c>
      <c r="F27" s="8">
        <v>0</v>
      </c>
      <c r="G27" s="8">
        <v>100000</v>
      </c>
      <c r="H27" s="8">
        <v>0</v>
      </c>
      <c r="I27" s="8">
        <v>0</v>
      </c>
      <c r="J27" s="8">
        <v>100000</v>
      </c>
      <c r="K27" s="9">
        <v>0</v>
      </c>
    </row>
    <row r="28" spans="2:11" ht="12.6" customHeight="1" x14ac:dyDescent="0.2">
      <c r="B28" s="4" t="s">
        <v>27</v>
      </c>
      <c r="C28" s="4" t="s">
        <v>46</v>
      </c>
      <c r="D28" s="4" t="s">
        <v>29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6">
        <v>0</v>
      </c>
    </row>
    <row r="29" spans="2:11" x14ac:dyDescent="0.2">
      <c r="B29" s="4" t="s">
        <v>17</v>
      </c>
      <c r="C29" s="4" t="s">
        <v>47</v>
      </c>
      <c r="D29" s="4" t="s">
        <v>19</v>
      </c>
      <c r="E29" s="5">
        <v>100000</v>
      </c>
      <c r="F29" s="5">
        <v>0</v>
      </c>
      <c r="G29" s="5">
        <v>100000</v>
      </c>
      <c r="H29" s="5">
        <v>0</v>
      </c>
      <c r="I29" s="5">
        <v>0</v>
      </c>
      <c r="J29" s="5">
        <v>100000</v>
      </c>
      <c r="K29" s="6">
        <v>0</v>
      </c>
    </row>
    <row r="30" spans="2:11" ht="12.6" customHeight="1" x14ac:dyDescent="0.2">
      <c r="B30" s="7" t="s">
        <v>48</v>
      </c>
      <c r="E30" s="8">
        <v>1300</v>
      </c>
      <c r="F30" s="8">
        <v>0</v>
      </c>
      <c r="G30" s="8">
        <v>1300</v>
      </c>
      <c r="H30" s="8">
        <v>0</v>
      </c>
      <c r="I30" s="8">
        <v>0</v>
      </c>
      <c r="J30" s="8">
        <v>1300</v>
      </c>
      <c r="K30" s="9">
        <v>0</v>
      </c>
    </row>
    <row r="31" spans="2:11" ht="12.6" customHeight="1" x14ac:dyDescent="0.2">
      <c r="B31" s="4" t="s">
        <v>27</v>
      </c>
      <c r="C31" s="4" t="s">
        <v>49</v>
      </c>
      <c r="D31" s="4" t="s">
        <v>29</v>
      </c>
      <c r="E31" s="5">
        <v>1300</v>
      </c>
      <c r="F31" s="5">
        <v>0</v>
      </c>
      <c r="G31" s="5">
        <v>1300</v>
      </c>
      <c r="H31" s="5">
        <v>0</v>
      </c>
      <c r="I31" s="5">
        <v>0</v>
      </c>
      <c r="J31" s="5">
        <v>1300</v>
      </c>
      <c r="K31" s="6">
        <v>0</v>
      </c>
    </row>
    <row r="32" spans="2:11" ht="12.6" customHeight="1" x14ac:dyDescent="0.2">
      <c r="B32" s="10" t="s">
        <v>50</v>
      </c>
      <c r="E32" s="11">
        <v>23471400</v>
      </c>
      <c r="F32" s="11">
        <v>23013153.739999998</v>
      </c>
      <c r="G32" s="11">
        <v>458246.26</v>
      </c>
      <c r="H32" s="11">
        <v>23013153.739999998</v>
      </c>
      <c r="I32" s="11">
        <v>0</v>
      </c>
      <c r="J32" s="11">
        <v>458246.26</v>
      </c>
      <c r="K32" s="12">
        <v>0.98099999999999998</v>
      </c>
    </row>
    <row r="33" spans="2:11" ht="12.6" customHeight="1" x14ac:dyDescent="0.2">
      <c r="B33" s="10" t="s">
        <v>51</v>
      </c>
      <c r="E33" s="11">
        <v>23471400</v>
      </c>
      <c r="F33" s="11">
        <v>23013153.739999998</v>
      </c>
      <c r="G33" s="11">
        <v>458246.26</v>
      </c>
      <c r="H33" s="11">
        <v>23013153.739999998</v>
      </c>
      <c r="I33" s="11">
        <v>0</v>
      </c>
      <c r="J33" s="11">
        <v>458246.26</v>
      </c>
      <c r="K33" s="12">
        <v>0.98099999999999998</v>
      </c>
    </row>
    <row r="34" spans="2:11" ht="12.6" customHeight="1" x14ac:dyDescent="0.2">
      <c r="B34" s="13" t="s">
        <v>52</v>
      </c>
      <c r="E34" s="14">
        <v>23471400</v>
      </c>
      <c r="F34" s="14">
        <v>23013153.739999998</v>
      </c>
      <c r="G34" s="14">
        <v>458246.26</v>
      </c>
      <c r="H34" s="14">
        <v>23013153.739999998</v>
      </c>
      <c r="I34" s="14">
        <v>0</v>
      </c>
      <c r="J34" s="14">
        <v>458246.26</v>
      </c>
      <c r="K34" s="15">
        <v>0.98099999999999998</v>
      </c>
    </row>
    <row r="35" spans="2:11" ht="12.6" customHeight="1" x14ac:dyDescent="0.2">
      <c r="B35" s="16" t="s">
        <v>53</v>
      </c>
      <c r="E35" s="17">
        <v>23471400</v>
      </c>
      <c r="F35" s="17">
        <v>23013153.739999998</v>
      </c>
      <c r="G35" s="17">
        <v>458246.26</v>
      </c>
      <c r="H35" s="17">
        <v>23013153.739999998</v>
      </c>
      <c r="I35" s="17">
        <v>0</v>
      </c>
      <c r="J35" s="17">
        <v>458246.26</v>
      </c>
      <c r="K35" s="18">
        <v>0.98099999999999998</v>
      </c>
    </row>
    <row r="36" spans="2:11" ht="12.6" customHeight="1" x14ac:dyDescent="0.2">
      <c r="B36" s="19" t="s">
        <v>54</v>
      </c>
      <c r="E36" s="20">
        <v>23471400</v>
      </c>
      <c r="F36" s="20">
        <v>23013153.739999998</v>
      </c>
      <c r="G36" s="20">
        <v>458246.26</v>
      </c>
      <c r="H36" s="20">
        <v>23013153.739999998</v>
      </c>
      <c r="I36" s="20">
        <v>0</v>
      </c>
      <c r="J36" s="20">
        <v>458246.26</v>
      </c>
      <c r="K36" s="21">
        <v>0.98099999999999998</v>
      </c>
    </row>
    <row r="37" spans="2:11" ht="12.6" customHeight="1" x14ac:dyDescent="0.2">
      <c r="B37" s="22" t="s">
        <v>55</v>
      </c>
      <c r="E37" s="23">
        <v>20148300</v>
      </c>
      <c r="F37" s="23">
        <v>20984663.52</v>
      </c>
      <c r="G37" s="23">
        <v>-836363.52</v>
      </c>
      <c r="H37" s="23">
        <v>20984663.52</v>
      </c>
      <c r="I37" s="23">
        <v>0</v>
      </c>
      <c r="J37" s="23">
        <v>-836363.52</v>
      </c>
      <c r="K37" s="24">
        <v>1.042</v>
      </c>
    </row>
    <row r="38" spans="2:11" ht="12.6" customHeight="1" x14ac:dyDescent="0.2">
      <c r="B38" s="7" t="s">
        <v>56</v>
      </c>
      <c r="E38" s="8">
        <v>18447700</v>
      </c>
      <c r="F38" s="8">
        <v>20201443.609999999</v>
      </c>
      <c r="G38" s="8">
        <v>-1753743.61</v>
      </c>
      <c r="H38" s="8">
        <v>20201443.609999999</v>
      </c>
      <c r="I38" s="8">
        <v>0</v>
      </c>
      <c r="J38" s="8">
        <v>-1753743.61</v>
      </c>
      <c r="K38" s="9">
        <v>1.095</v>
      </c>
    </row>
    <row r="39" spans="2:11" ht="22.5" x14ac:dyDescent="0.2">
      <c r="B39" s="4" t="s">
        <v>57</v>
      </c>
      <c r="C39" s="4" t="s">
        <v>58</v>
      </c>
      <c r="D39" s="4" t="s">
        <v>59</v>
      </c>
      <c r="E39" s="5">
        <v>13944200</v>
      </c>
      <c r="F39" s="5">
        <v>15150822.08</v>
      </c>
      <c r="G39" s="5">
        <v>-1206622.08</v>
      </c>
      <c r="H39" s="5">
        <v>15150822.08</v>
      </c>
      <c r="I39" s="5">
        <v>0</v>
      </c>
      <c r="J39" s="5">
        <v>-1206622.08</v>
      </c>
      <c r="K39" s="6">
        <v>1.087</v>
      </c>
    </row>
    <row r="40" spans="2:11" ht="12.6" customHeight="1" x14ac:dyDescent="0.2">
      <c r="B40" s="4" t="s">
        <v>60</v>
      </c>
      <c r="C40" s="4" t="s">
        <v>61</v>
      </c>
      <c r="D40" s="4" t="s">
        <v>62</v>
      </c>
      <c r="E40" s="5">
        <v>899400</v>
      </c>
      <c r="F40" s="5">
        <v>1344751.27</v>
      </c>
      <c r="G40" s="5">
        <v>-445351.27</v>
      </c>
      <c r="H40" s="5">
        <v>1344751.27</v>
      </c>
      <c r="I40" s="5">
        <v>0</v>
      </c>
      <c r="J40" s="5">
        <v>-445351.27</v>
      </c>
      <c r="K40" s="6">
        <v>1.4950000000000001</v>
      </c>
    </row>
    <row r="41" spans="2:11" ht="12.6" customHeight="1" x14ac:dyDescent="0.2">
      <c r="B41" s="4" t="s">
        <v>63</v>
      </c>
      <c r="C41" s="4" t="s">
        <v>64</v>
      </c>
      <c r="D41" s="4" t="s">
        <v>65</v>
      </c>
      <c r="E41" s="5">
        <v>2231900</v>
      </c>
      <c r="F41" s="5">
        <v>2425088.31</v>
      </c>
      <c r="G41" s="5">
        <v>-193188.31</v>
      </c>
      <c r="H41" s="5">
        <v>2425088.31</v>
      </c>
      <c r="I41" s="5">
        <v>0</v>
      </c>
      <c r="J41" s="5">
        <v>-193188.31</v>
      </c>
      <c r="K41" s="6">
        <v>1.087</v>
      </c>
    </row>
    <row r="42" spans="2:11" ht="12.6" customHeight="1" x14ac:dyDescent="0.2">
      <c r="B42" s="4" t="s">
        <v>66</v>
      </c>
      <c r="C42" s="4" t="s">
        <v>67</v>
      </c>
      <c r="D42" s="4" t="s">
        <v>68</v>
      </c>
      <c r="E42" s="5">
        <v>321000</v>
      </c>
      <c r="F42" s="5">
        <v>301355.68</v>
      </c>
      <c r="G42" s="5">
        <v>19644.32</v>
      </c>
      <c r="H42" s="5">
        <v>301355.68</v>
      </c>
      <c r="I42" s="5">
        <v>0</v>
      </c>
      <c r="J42" s="5">
        <v>19644.32</v>
      </c>
      <c r="K42" s="6">
        <v>0.93899999999999995</v>
      </c>
    </row>
    <row r="43" spans="2:11" ht="12.6" customHeight="1" x14ac:dyDescent="0.2">
      <c r="B43" s="4" t="s">
        <v>69</v>
      </c>
      <c r="C43" s="4" t="s">
        <v>70</v>
      </c>
      <c r="D43" s="4" t="s">
        <v>71</v>
      </c>
      <c r="E43" s="5">
        <v>25000</v>
      </c>
      <c r="F43" s="5">
        <v>26755.89</v>
      </c>
      <c r="G43" s="5">
        <v>-1755.89</v>
      </c>
      <c r="H43" s="5">
        <v>26755.89</v>
      </c>
      <c r="I43" s="5">
        <v>0</v>
      </c>
      <c r="J43" s="5">
        <v>-1755.89</v>
      </c>
      <c r="K43" s="6">
        <v>1.07</v>
      </c>
    </row>
    <row r="44" spans="2:11" ht="12.6" customHeight="1" x14ac:dyDescent="0.2">
      <c r="B44" s="4" t="s">
        <v>72</v>
      </c>
      <c r="C44" s="4" t="s">
        <v>73</v>
      </c>
      <c r="D44" s="4" t="s">
        <v>74</v>
      </c>
      <c r="E44" s="5">
        <v>4500</v>
      </c>
      <c r="F44" s="5">
        <v>4545</v>
      </c>
      <c r="G44" s="5">
        <v>-45</v>
      </c>
      <c r="H44" s="5">
        <v>4545</v>
      </c>
      <c r="I44" s="5">
        <v>0</v>
      </c>
      <c r="J44" s="5">
        <v>-45</v>
      </c>
      <c r="K44" s="6">
        <v>1.01</v>
      </c>
    </row>
    <row r="45" spans="2:11" x14ac:dyDescent="0.2">
      <c r="B45" s="4" t="s">
        <v>75</v>
      </c>
      <c r="C45" s="4" t="s">
        <v>76</v>
      </c>
      <c r="D45" s="4" t="s">
        <v>77</v>
      </c>
      <c r="E45" s="5">
        <v>43400</v>
      </c>
      <c r="F45" s="5">
        <v>7878.08</v>
      </c>
      <c r="G45" s="5">
        <v>35521.919999999998</v>
      </c>
      <c r="H45" s="5">
        <v>7878.08</v>
      </c>
      <c r="I45" s="5">
        <v>0</v>
      </c>
      <c r="J45" s="5">
        <v>35521.919999999998</v>
      </c>
      <c r="K45" s="6">
        <v>0.182</v>
      </c>
    </row>
    <row r="46" spans="2:11" x14ac:dyDescent="0.2">
      <c r="B46" s="4" t="s">
        <v>78</v>
      </c>
      <c r="C46" s="4" t="s">
        <v>79</v>
      </c>
      <c r="D46" s="4" t="s">
        <v>80</v>
      </c>
      <c r="E46" s="5">
        <v>446900</v>
      </c>
      <c r="F46" s="5">
        <v>407791.85</v>
      </c>
      <c r="G46" s="5">
        <v>39108.15</v>
      </c>
      <c r="H46" s="5">
        <v>407791.85</v>
      </c>
      <c r="I46" s="5">
        <v>0</v>
      </c>
      <c r="J46" s="5">
        <v>39108.15</v>
      </c>
      <c r="K46" s="6">
        <v>0.91300000000000003</v>
      </c>
    </row>
    <row r="47" spans="2:11" ht="12.6" customHeight="1" x14ac:dyDescent="0.2">
      <c r="B47" s="4" t="s">
        <v>81</v>
      </c>
      <c r="C47" s="4" t="s">
        <v>82</v>
      </c>
      <c r="D47" s="4" t="s">
        <v>83</v>
      </c>
      <c r="E47" s="5">
        <v>5000</v>
      </c>
      <c r="F47" s="5">
        <v>4030.8</v>
      </c>
      <c r="G47" s="5">
        <v>969.2</v>
      </c>
      <c r="H47" s="5">
        <v>4030.8</v>
      </c>
      <c r="I47" s="5">
        <v>0</v>
      </c>
      <c r="J47" s="5">
        <v>969.2</v>
      </c>
      <c r="K47" s="6">
        <v>0.80600000000000005</v>
      </c>
    </row>
    <row r="48" spans="2:11" ht="12.6" customHeight="1" x14ac:dyDescent="0.2">
      <c r="B48" s="4" t="s">
        <v>84</v>
      </c>
      <c r="C48" s="4" t="s">
        <v>85</v>
      </c>
      <c r="D48" s="4" t="s">
        <v>86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6">
        <v>0</v>
      </c>
    </row>
    <row r="49" spans="2:11" ht="12.6" customHeight="1" x14ac:dyDescent="0.2">
      <c r="B49" s="4" t="s">
        <v>87</v>
      </c>
      <c r="C49" s="4" t="s">
        <v>88</v>
      </c>
      <c r="D49" s="4" t="s">
        <v>89</v>
      </c>
      <c r="E49" s="5">
        <v>4000</v>
      </c>
      <c r="F49" s="5">
        <v>4000</v>
      </c>
      <c r="G49" s="5">
        <v>0</v>
      </c>
      <c r="H49" s="5">
        <v>4000</v>
      </c>
      <c r="I49" s="5">
        <v>0</v>
      </c>
      <c r="J49" s="5">
        <v>0</v>
      </c>
      <c r="K49" s="6">
        <v>1</v>
      </c>
    </row>
    <row r="50" spans="2:11" ht="12.6" customHeight="1" x14ac:dyDescent="0.2">
      <c r="B50" s="4" t="s">
        <v>38</v>
      </c>
      <c r="C50" s="4" t="s">
        <v>90</v>
      </c>
      <c r="D50" s="4" t="s">
        <v>40</v>
      </c>
      <c r="E50" s="5">
        <v>10000</v>
      </c>
      <c r="F50" s="5">
        <v>10292.129999999999</v>
      </c>
      <c r="G50" s="5">
        <v>-292.13</v>
      </c>
      <c r="H50" s="5">
        <v>10292.129999999999</v>
      </c>
      <c r="I50" s="5">
        <v>0</v>
      </c>
      <c r="J50" s="5">
        <v>-292.13</v>
      </c>
      <c r="K50" s="6">
        <v>1.0289999999999999</v>
      </c>
    </row>
    <row r="51" spans="2:11" ht="12.6" customHeight="1" x14ac:dyDescent="0.2">
      <c r="B51" s="4" t="s">
        <v>91</v>
      </c>
      <c r="C51" s="4" t="s">
        <v>92</v>
      </c>
      <c r="D51" s="4" t="s">
        <v>93</v>
      </c>
      <c r="E51" s="5">
        <v>30000</v>
      </c>
      <c r="F51" s="5">
        <v>25094.49</v>
      </c>
      <c r="G51" s="5">
        <v>4905.51</v>
      </c>
      <c r="H51" s="5">
        <v>25094.49</v>
      </c>
      <c r="I51" s="5">
        <v>0</v>
      </c>
      <c r="J51" s="5">
        <v>4905.51</v>
      </c>
      <c r="K51" s="6">
        <v>0.83699999999999997</v>
      </c>
    </row>
    <row r="52" spans="2:11" x14ac:dyDescent="0.2">
      <c r="B52" s="4" t="s">
        <v>94</v>
      </c>
      <c r="C52" s="4" t="s">
        <v>95</v>
      </c>
      <c r="D52" s="4" t="s">
        <v>96</v>
      </c>
      <c r="E52" s="5">
        <v>134300</v>
      </c>
      <c r="F52" s="5">
        <v>141678.94</v>
      </c>
      <c r="G52" s="5">
        <v>-7378.94</v>
      </c>
      <c r="H52" s="5">
        <v>141678.94</v>
      </c>
      <c r="I52" s="5">
        <v>0</v>
      </c>
      <c r="J52" s="5">
        <v>-7378.94</v>
      </c>
      <c r="K52" s="6">
        <v>1.0549999999999999</v>
      </c>
    </row>
    <row r="53" spans="2:11" ht="22.5" x14ac:dyDescent="0.2">
      <c r="B53" s="4" t="s">
        <v>97</v>
      </c>
      <c r="C53" s="4" t="s">
        <v>98</v>
      </c>
      <c r="D53" s="4" t="s">
        <v>99</v>
      </c>
      <c r="E53" s="5">
        <v>117500</v>
      </c>
      <c r="F53" s="5">
        <v>118372.66</v>
      </c>
      <c r="G53" s="5">
        <v>-872.66</v>
      </c>
      <c r="H53" s="5">
        <v>118372.66</v>
      </c>
      <c r="I53" s="5">
        <v>0</v>
      </c>
      <c r="J53" s="5">
        <v>-872.66</v>
      </c>
      <c r="K53" s="6">
        <v>1.0069999999999999</v>
      </c>
    </row>
    <row r="54" spans="2:11" ht="12.6" customHeight="1" x14ac:dyDescent="0.2">
      <c r="B54" s="4" t="s">
        <v>100</v>
      </c>
      <c r="C54" s="4" t="s">
        <v>101</v>
      </c>
      <c r="D54" s="4" t="s">
        <v>102</v>
      </c>
      <c r="E54" s="5">
        <v>54000</v>
      </c>
      <c r="F54" s="5">
        <v>25415</v>
      </c>
      <c r="G54" s="5">
        <v>28585</v>
      </c>
      <c r="H54" s="5">
        <v>25415</v>
      </c>
      <c r="I54" s="5">
        <v>0</v>
      </c>
      <c r="J54" s="5">
        <v>28585</v>
      </c>
      <c r="K54" s="6">
        <v>0.47099999999999997</v>
      </c>
    </row>
    <row r="55" spans="2:11" ht="12.6" customHeight="1" x14ac:dyDescent="0.2">
      <c r="B55" s="4" t="s">
        <v>41</v>
      </c>
      <c r="C55" s="4" t="s">
        <v>103</v>
      </c>
      <c r="D55" s="4" t="s">
        <v>43</v>
      </c>
      <c r="E55" s="5">
        <v>95600</v>
      </c>
      <c r="F55" s="5">
        <v>107777.74</v>
      </c>
      <c r="G55" s="5">
        <v>-12177.74</v>
      </c>
      <c r="H55" s="5">
        <v>107777.74</v>
      </c>
      <c r="I55" s="5">
        <v>0</v>
      </c>
      <c r="J55" s="5">
        <v>-12177.74</v>
      </c>
      <c r="K55" s="6">
        <v>1.127</v>
      </c>
    </row>
    <row r="56" spans="2:11" x14ac:dyDescent="0.2">
      <c r="B56" s="4" t="s">
        <v>104</v>
      </c>
      <c r="C56" s="4" t="s">
        <v>105</v>
      </c>
      <c r="D56" s="4" t="s">
        <v>106</v>
      </c>
      <c r="E56" s="5">
        <v>50000</v>
      </c>
      <c r="F56" s="5">
        <v>50000</v>
      </c>
      <c r="G56" s="5">
        <v>0</v>
      </c>
      <c r="H56" s="5">
        <v>50000</v>
      </c>
      <c r="I56" s="5">
        <v>0</v>
      </c>
      <c r="J56" s="5">
        <v>0</v>
      </c>
      <c r="K56" s="6">
        <v>1</v>
      </c>
    </row>
    <row r="57" spans="2:11" ht="12.6" customHeight="1" x14ac:dyDescent="0.2">
      <c r="B57" s="4" t="s">
        <v>107</v>
      </c>
      <c r="C57" s="4" t="s">
        <v>108</v>
      </c>
      <c r="D57" s="4" t="s">
        <v>109</v>
      </c>
      <c r="E57" s="5">
        <v>4000</v>
      </c>
      <c r="F57" s="5">
        <v>5350.82</v>
      </c>
      <c r="G57" s="5">
        <v>-1350.82</v>
      </c>
      <c r="H57" s="5">
        <v>5350.82</v>
      </c>
      <c r="I57" s="5">
        <v>0</v>
      </c>
      <c r="J57" s="5">
        <v>-1350.82</v>
      </c>
      <c r="K57" s="6">
        <v>1.3380000000000001</v>
      </c>
    </row>
    <row r="58" spans="2:11" x14ac:dyDescent="0.2">
      <c r="B58" s="4" t="s">
        <v>110</v>
      </c>
      <c r="C58" s="4" t="s">
        <v>111</v>
      </c>
      <c r="D58" s="4" t="s">
        <v>112</v>
      </c>
      <c r="E58" s="5">
        <v>25000</v>
      </c>
      <c r="F58" s="5">
        <v>24824.87</v>
      </c>
      <c r="G58" s="5">
        <v>175.13</v>
      </c>
      <c r="H58" s="5">
        <v>24824.87</v>
      </c>
      <c r="I58" s="5">
        <v>0</v>
      </c>
      <c r="J58" s="5">
        <v>175.13</v>
      </c>
      <c r="K58" s="6">
        <v>0.99299999999999999</v>
      </c>
    </row>
    <row r="59" spans="2:11" x14ac:dyDescent="0.2">
      <c r="B59" s="4" t="s">
        <v>113</v>
      </c>
      <c r="C59" s="4" t="s">
        <v>114</v>
      </c>
      <c r="D59" s="4" t="s">
        <v>115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6">
        <v>0</v>
      </c>
    </row>
    <row r="60" spans="2:11" x14ac:dyDescent="0.2">
      <c r="B60" s="4" t="s">
        <v>116</v>
      </c>
      <c r="C60" s="4" t="s">
        <v>117</v>
      </c>
      <c r="D60" s="4" t="s">
        <v>118</v>
      </c>
      <c r="E60" s="5">
        <v>1000</v>
      </c>
      <c r="F60" s="5">
        <v>14618</v>
      </c>
      <c r="G60" s="5">
        <v>-13618</v>
      </c>
      <c r="H60" s="5">
        <v>14618</v>
      </c>
      <c r="I60" s="5">
        <v>0</v>
      </c>
      <c r="J60" s="5">
        <v>-13618</v>
      </c>
      <c r="K60" s="6">
        <v>14.618</v>
      </c>
    </row>
    <row r="61" spans="2:11" ht="12.6" customHeight="1" x14ac:dyDescent="0.2">
      <c r="B61" s="4" t="s">
        <v>119</v>
      </c>
      <c r="C61" s="4" t="s">
        <v>120</v>
      </c>
      <c r="D61" s="4" t="s">
        <v>121</v>
      </c>
      <c r="E61" s="5">
        <v>1000</v>
      </c>
      <c r="F61" s="5">
        <v>1000</v>
      </c>
      <c r="G61" s="5">
        <v>0</v>
      </c>
      <c r="H61" s="5">
        <v>1000</v>
      </c>
      <c r="I61" s="5">
        <v>0</v>
      </c>
      <c r="J61" s="5">
        <v>0</v>
      </c>
      <c r="K61" s="6">
        <v>1</v>
      </c>
    </row>
    <row r="62" spans="2:11" ht="12.6" customHeight="1" x14ac:dyDescent="0.2">
      <c r="B62" s="4" t="s">
        <v>122</v>
      </c>
      <c r="C62" s="4" t="s">
        <v>123</v>
      </c>
      <c r="D62" s="4" t="s">
        <v>124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6">
        <v>0</v>
      </c>
    </row>
    <row r="63" spans="2:11" ht="12.6" customHeight="1" x14ac:dyDescent="0.2">
      <c r="B63" s="7" t="s">
        <v>125</v>
      </c>
      <c r="E63" s="8">
        <v>18300</v>
      </c>
      <c r="F63" s="8">
        <v>0</v>
      </c>
      <c r="G63" s="8">
        <v>18300</v>
      </c>
      <c r="H63" s="8">
        <v>0</v>
      </c>
      <c r="I63" s="8">
        <v>0</v>
      </c>
      <c r="J63" s="8">
        <v>18300</v>
      </c>
      <c r="K63" s="9">
        <v>0</v>
      </c>
    </row>
    <row r="64" spans="2:11" x14ac:dyDescent="0.2">
      <c r="B64" s="4" t="s">
        <v>126</v>
      </c>
      <c r="C64" s="4" t="s">
        <v>127</v>
      </c>
      <c r="D64" s="4" t="s">
        <v>128</v>
      </c>
      <c r="E64" s="5">
        <v>18300</v>
      </c>
      <c r="F64" s="5">
        <v>0</v>
      </c>
      <c r="G64" s="5">
        <v>18300</v>
      </c>
      <c r="H64" s="5">
        <v>0</v>
      </c>
      <c r="I64" s="5">
        <v>0</v>
      </c>
      <c r="J64" s="5">
        <v>18300</v>
      </c>
      <c r="K64" s="6">
        <v>0</v>
      </c>
    </row>
    <row r="65" spans="2:11" ht="12.6" customHeight="1" x14ac:dyDescent="0.2">
      <c r="B65" s="7" t="s">
        <v>129</v>
      </c>
      <c r="E65" s="8">
        <v>963300</v>
      </c>
      <c r="F65" s="8">
        <v>359408.36</v>
      </c>
      <c r="G65" s="8">
        <v>603891.64</v>
      </c>
      <c r="H65" s="8">
        <v>359408.36</v>
      </c>
      <c r="I65" s="8">
        <v>0</v>
      </c>
      <c r="J65" s="8">
        <v>603891.64</v>
      </c>
      <c r="K65" s="9">
        <v>0.373</v>
      </c>
    </row>
    <row r="66" spans="2:11" x14ac:dyDescent="0.2">
      <c r="B66" s="4" t="s">
        <v>130</v>
      </c>
      <c r="C66" s="4" t="s">
        <v>131</v>
      </c>
      <c r="D66" s="4" t="s">
        <v>132</v>
      </c>
      <c r="E66" s="5">
        <v>12000</v>
      </c>
      <c r="F66" s="5">
        <v>2581.08</v>
      </c>
      <c r="G66" s="5">
        <v>9418.92</v>
      </c>
      <c r="H66" s="5">
        <v>2581.08</v>
      </c>
      <c r="I66" s="5">
        <v>0</v>
      </c>
      <c r="J66" s="5">
        <v>9418.92</v>
      </c>
      <c r="K66" s="6">
        <v>0.215</v>
      </c>
    </row>
    <row r="67" spans="2:11" ht="12.6" customHeight="1" x14ac:dyDescent="0.2">
      <c r="B67" s="4" t="s">
        <v>69</v>
      </c>
      <c r="C67" s="4" t="s">
        <v>133</v>
      </c>
      <c r="D67" s="4" t="s">
        <v>71</v>
      </c>
      <c r="E67" s="5">
        <v>5000</v>
      </c>
      <c r="F67" s="5">
        <v>480</v>
      </c>
      <c r="G67" s="5">
        <v>4520</v>
      </c>
      <c r="H67" s="5">
        <v>480</v>
      </c>
      <c r="I67" s="5">
        <v>0</v>
      </c>
      <c r="J67" s="5">
        <v>4520</v>
      </c>
      <c r="K67" s="6">
        <v>9.6000000000000002E-2</v>
      </c>
    </row>
    <row r="68" spans="2:11" ht="12.6" customHeight="1" x14ac:dyDescent="0.2">
      <c r="B68" s="4" t="s">
        <v>72</v>
      </c>
      <c r="C68" s="4" t="s">
        <v>134</v>
      </c>
      <c r="D68" s="4" t="s">
        <v>74</v>
      </c>
      <c r="E68" s="5">
        <v>73000</v>
      </c>
      <c r="F68" s="5">
        <v>28140.59</v>
      </c>
      <c r="G68" s="5">
        <v>44859.41</v>
      </c>
      <c r="H68" s="5">
        <v>28140.59</v>
      </c>
      <c r="I68" s="5">
        <v>0</v>
      </c>
      <c r="J68" s="5">
        <v>44859.41</v>
      </c>
      <c r="K68" s="6">
        <v>0.38600000000000001</v>
      </c>
    </row>
    <row r="69" spans="2:11" x14ac:dyDescent="0.2">
      <c r="B69" s="4" t="s">
        <v>75</v>
      </c>
      <c r="C69" s="4" t="s">
        <v>135</v>
      </c>
      <c r="D69" s="4" t="s">
        <v>77</v>
      </c>
      <c r="E69" s="5">
        <v>64000</v>
      </c>
      <c r="F69" s="5">
        <v>26016.880000000001</v>
      </c>
      <c r="G69" s="5">
        <v>37983.120000000003</v>
      </c>
      <c r="H69" s="5">
        <v>26016.880000000001</v>
      </c>
      <c r="I69" s="5">
        <v>0</v>
      </c>
      <c r="J69" s="5">
        <v>37983.120000000003</v>
      </c>
      <c r="K69" s="6">
        <v>0.40699999999999997</v>
      </c>
    </row>
    <row r="70" spans="2:11" ht="12.6" customHeight="1" x14ac:dyDescent="0.2">
      <c r="B70" s="4" t="s">
        <v>81</v>
      </c>
      <c r="C70" s="4" t="s">
        <v>136</v>
      </c>
      <c r="D70" s="4" t="s">
        <v>83</v>
      </c>
      <c r="E70" s="5">
        <v>33000</v>
      </c>
      <c r="F70" s="5">
        <v>13456.27</v>
      </c>
      <c r="G70" s="5">
        <v>19543.73</v>
      </c>
      <c r="H70" s="5">
        <v>13456.27</v>
      </c>
      <c r="I70" s="5">
        <v>0</v>
      </c>
      <c r="J70" s="5">
        <v>19543.73</v>
      </c>
      <c r="K70" s="6">
        <v>0.40799999999999997</v>
      </c>
    </row>
    <row r="71" spans="2:11" ht="12.6" customHeight="1" x14ac:dyDescent="0.2">
      <c r="B71" s="4" t="s">
        <v>84</v>
      </c>
      <c r="C71" s="4" t="s">
        <v>137</v>
      </c>
      <c r="D71" s="4" t="s">
        <v>86</v>
      </c>
      <c r="E71" s="5">
        <v>5000</v>
      </c>
      <c r="F71" s="5">
        <v>502.1</v>
      </c>
      <c r="G71" s="5">
        <v>4497.8999999999996</v>
      </c>
      <c r="H71" s="5">
        <v>502.1</v>
      </c>
      <c r="I71" s="5">
        <v>0</v>
      </c>
      <c r="J71" s="5">
        <v>4497.8999999999996</v>
      </c>
      <c r="K71" s="6">
        <v>0.1</v>
      </c>
    </row>
    <row r="72" spans="2:11" ht="12.6" customHeight="1" x14ac:dyDescent="0.2">
      <c r="B72" s="4" t="s">
        <v>138</v>
      </c>
      <c r="C72" s="4" t="s">
        <v>139</v>
      </c>
      <c r="D72" s="4" t="s">
        <v>140</v>
      </c>
      <c r="E72" s="5">
        <v>4000</v>
      </c>
      <c r="F72" s="5">
        <v>0</v>
      </c>
      <c r="G72" s="5">
        <v>4000</v>
      </c>
      <c r="H72" s="5">
        <v>0</v>
      </c>
      <c r="I72" s="5">
        <v>0</v>
      </c>
      <c r="J72" s="5">
        <v>4000</v>
      </c>
      <c r="K72" s="6">
        <v>0</v>
      </c>
    </row>
    <row r="73" spans="2:11" ht="12.6" customHeight="1" x14ac:dyDescent="0.2">
      <c r="B73" s="4" t="s">
        <v>87</v>
      </c>
      <c r="C73" s="4" t="s">
        <v>141</v>
      </c>
      <c r="D73" s="4" t="s">
        <v>89</v>
      </c>
      <c r="E73" s="5">
        <v>86000</v>
      </c>
      <c r="F73" s="5">
        <v>23222.16</v>
      </c>
      <c r="G73" s="5">
        <v>62777.84</v>
      </c>
      <c r="H73" s="5">
        <v>23222.16</v>
      </c>
      <c r="I73" s="5">
        <v>0</v>
      </c>
      <c r="J73" s="5">
        <v>62777.84</v>
      </c>
      <c r="K73" s="6">
        <v>0.27</v>
      </c>
    </row>
    <row r="74" spans="2:11" ht="12.6" customHeight="1" x14ac:dyDescent="0.2">
      <c r="B74" s="4" t="s">
        <v>38</v>
      </c>
      <c r="C74" s="4" t="s">
        <v>142</v>
      </c>
      <c r="D74" s="4" t="s">
        <v>40</v>
      </c>
      <c r="E74" s="5">
        <v>167000</v>
      </c>
      <c r="F74" s="5">
        <v>37024.14</v>
      </c>
      <c r="G74" s="5">
        <v>129975.86</v>
      </c>
      <c r="H74" s="5">
        <v>37024.14</v>
      </c>
      <c r="I74" s="5">
        <v>0</v>
      </c>
      <c r="J74" s="5">
        <v>129975.86</v>
      </c>
      <c r="K74" s="6">
        <v>0.222</v>
      </c>
    </row>
    <row r="75" spans="2:11" ht="12.6" customHeight="1" x14ac:dyDescent="0.2">
      <c r="B75" s="4" t="s">
        <v>91</v>
      </c>
      <c r="C75" s="4" t="s">
        <v>143</v>
      </c>
      <c r="D75" s="4" t="s">
        <v>93</v>
      </c>
      <c r="E75" s="5">
        <v>10000</v>
      </c>
      <c r="F75" s="5">
        <v>324.66000000000003</v>
      </c>
      <c r="G75" s="5">
        <v>9675.34</v>
      </c>
      <c r="H75" s="5">
        <v>324.66000000000003</v>
      </c>
      <c r="I75" s="5">
        <v>0</v>
      </c>
      <c r="J75" s="5">
        <v>9675.34</v>
      </c>
      <c r="K75" s="6">
        <v>3.3000000000000002E-2</v>
      </c>
    </row>
    <row r="76" spans="2:11" x14ac:dyDescent="0.2">
      <c r="B76" s="4" t="s">
        <v>94</v>
      </c>
      <c r="C76" s="4" t="s">
        <v>144</v>
      </c>
      <c r="D76" s="4" t="s">
        <v>96</v>
      </c>
      <c r="E76" s="5">
        <v>20000</v>
      </c>
      <c r="F76" s="5">
        <v>0</v>
      </c>
      <c r="G76" s="5">
        <v>20000</v>
      </c>
      <c r="H76" s="5">
        <v>0</v>
      </c>
      <c r="I76" s="5">
        <v>0</v>
      </c>
      <c r="J76" s="5">
        <v>20000</v>
      </c>
      <c r="K76" s="6">
        <v>0</v>
      </c>
    </row>
    <row r="77" spans="2:11" ht="22.5" x14ac:dyDescent="0.2">
      <c r="B77" s="4" t="s">
        <v>97</v>
      </c>
      <c r="C77" s="4" t="s">
        <v>145</v>
      </c>
      <c r="D77" s="4" t="s">
        <v>99</v>
      </c>
      <c r="E77" s="5">
        <v>125000</v>
      </c>
      <c r="F77" s="5">
        <v>89010.57</v>
      </c>
      <c r="G77" s="5">
        <v>35989.43</v>
      </c>
      <c r="H77" s="5">
        <v>89010.57</v>
      </c>
      <c r="I77" s="5">
        <v>0</v>
      </c>
      <c r="J77" s="5">
        <v>35989.43</v>
      </c>
      <c r="K77" s="6">
        <v>0.71199999999999997</v>
      </c>
    </row>
    <row r="78" spans="2:11" ht="12.6" customHeight="1" x14ac:dyDescent="0.2">
      <c r="B78" s="4" t="s">
        <v>100</v>
      </c>
      <c r="C78" s="4" t="s">
        <v>146</v>
      </c>
      <c r="D78" s="4" t="s">
        <v>102</v>
      </c>
      <c r="E78" s="5">
        <v>2000</v>
      </c>
      <c r="F78" s="5">
        <v>0</v>
      </c>
      <c r="G78" s="5">
        <v>2000</v>
      </c>
      <c r="H78" s="5">
        <v>0</v>
      </c>
      <c r="I78" s="5">
        <v>0</v>
      </c>
      <c r="J78" s="5">
        <v>2000</v>
      </c>
      <c r="K78" s="6">
        <v>0</v>
      </c>
    </row>
    <row r="79" spans="2:11" ht="12.6" customHeight="1" x14ac:dyDescent="0.2">
      <c r="B79" s="4" t="s">
        <v>41</v>
      </c>
      <c r="C79" s="4" t="s">
        <v>147</v>
      </c>
      <c r="D79" s="4" t="s">
        <v>43</v>
      </c>
      <c r="E79" s="5">
        <v>48600</v>
      </c>
      <c r="F79" s="5">
        <v>14371.21</v>
      </c>
      <c r="G79" s="5">
        <v>34228.79</v>
      </c>
      <c r="H79" s="5">
        <v>14371.21</v>
      </c>
      <c r="I79" s="5">
        <v>0</v>
      </c>
      <c r="J79" s="5">
        <v>34228.79</v>
      </c>
      <c r="K79" s="6">
        <v>0.29599999999999999</v>
      </c>
    </row>
    <row r="80" spans="2:11" x14ac:dyDescent="0.2">
      <c r="B80" s="4" t="s">
        <v>104</v>
      </c>
      <c r="C80" s="4" t="s">
        <v>148</v>
      </c>
      <c r="D80" s="4" t="s">
        <v>106</v>
      </c>
      <c r="E80" s="5">
        <v>125000</v>
      </c>
      <c r="F80" s="5">
        <v>38043.83</v>
      </c>
      <c r="G80" s="5">
        <v>86956.17</v>
      </c>
      <c r="H80" s="5">
        <v>38043.83</v>
      </c>
      <c r="I80" s="5">
        <v>0</v>
      </c>
      <c r="J80" s="5">
        <v>86956.17</v>
      </c>
      <c r="K80" s="6">
        <v>0.30399999999999999</v>
      </c>
    </row>
    <row r="81" spans="2:11" x14ac:dyDescent="0.2">
      <c r="B81" s="4" t="s">
        <v>126</v>
      </c>
      <c r="C81" s="4" t="s">
        <v>149</v>
      </c>
      <c r="D81" s="4" t="s">
        <v>128</v>
      </c>
      <c r="E81" s="5">
        <v>126200</v>
      </c>
      <c r="F81" s="5">
        <v>55941.56</v>
      </c>
      <c r="G81" s="5">
        <v>70258.44</v>
      </c>
      <c r="H81" s="5">
        <v>55941.56</v>
      </c>
      <c r="I81" s="5">
        <v>0</v>
      </c>
      <c r="J81" s="5">
        <v>70258.44</v>
      </c>
      <c r="K81" s="6">
        <v>0.443</v>
      </c>
    </row>
    <row r="82" spans="2:11" ht="12.6" customHeight="1" x14ac:dyDescent="0.2">
      <c r="B82" s="4" t="s">
        <v>150</v>
      </c>
      <c r="C82" s="4" t="s">
        <v>151</v>
      </c>
      <c r="D82" s="4" t="s">
        <v>152</v>
      </c>
      <c r="E82" s="5">
        <v>500</v>
      </c>
      <c r="F82" s="5">
        <v>0</v>
      </c>
      <c r="G82" s="5">
        <v>500</v>
      </c>
      <c r="H82" s="5">
        <v>0</v>
      </c>
      <c r="I82" s="5">
        <v>0</v>
      </c>
      <c r="J82" s="5">
        <v>500</v>
      </c>
      <c r="K82" s="6">
        <v>0</v>
      </c>
    </row>
    <row r="83" spans="2:11" x14ac:dyDescent="0.2">
      <c r="B83" s="4" t="s">
        <v>110</v>
      </c>
      <c r="C83" s="4" t="s">
        <v>153</v>
      </c>
      <c r="D83" s="4" t="s">
        <v>112</v>
      </c>
      <c r="E83" s="5">
        <v>4000</v>
      </c>
      <c r="F83" s="5">
        <v>2923.76</v>
      </c>
      <c r="G83" s="5">
        <v>1076.24</v>
      </c>
      <c r="H83" s="5">
        <v>2923.76</v>
      </c>
      <c r="I83" s="5">
        <v>0</v>
      </c>
      <c r="J83" s="5">
        <v>1076.24</v>
      </c>
      <c r="K83" s="6">
        <v>0.73099999999999998</v>
      </c>
    </row>
    <row r="84" spans="2:11" x14ac:dyDescent="0.2">
      <c r="B84" s="4" t="s">
        <v>154</v>
      </c>
      <c r="C84" s="4" t="s">
        <v>155</v>
      </c>
      <c r="D84" s="4" t="s">
        <v>156</v>
      </c>
      <c r="E84" s="5">
        <v>9000</v>
      </c>
      <c r="F84" s="5">
        <v>6050.12</v>
      </c>
      <c r="G84" s="5">
        <v>2949.88</v>
      </c>
      <c r="H84" s="5">
        <v>6050.12</v>
      </c>
      <c r="I84" s="5">
        <v>0</v>
      </c>
      <c r="J84" s="5">
        <v>2949.88</v>
      </c>
      <c r="K84" s="6">
        <v>0.67200000000000004</v>
      </c>
    </row>
    <row r="85" spans="2:11" x14ac:dyDescent="0.2">
      <c r="B85" s="4" t="s">
        <v>113</v>
      </c>
      <c r="C85" s="4" t="s">
        <v>157</v>
      </c>
      <c r="D85" s="4" t="s">
        <v>115</v>
      </c>
      <c r="E85" s="5">
        <v>3300</v>
      </c>
      <c r="F85" s="5">
        <v>2329.94</v>
      </c>
      <c r="G85" s="5">
        <v>970.06</v>
      </c>
      <c r="H85" s="5">
        <v>2329.94</v>
      </c>
      <c r="I85" s="5">
        <v>0</v>
      </c>
      <c r="J85" s="5">
        <v>970.06</v>
      </c>
      <c r="K85" s="6">
        <v>0.70599999999999996</v>
      </c>
    </row>
    <row r="86" spans="2:11" x14ac:dyDescent="0.2">
      <c r="B86" s="4" t="s">
        <v>116</v>
      </c>
      <c r="C86" s="4" t="s">
        <v>158</v>
      </c>
      <c r="D86" s="4" t="s">
        <v>118</v>
      </c>
      <c r="E86" s="5">
        <v>22500</v>
      </c>
      <c r="F86" s="5">
        <v>10419.06</v>
      </c>
      <c r="G86" s="5">
        <v>12080.94</v>
      </c>
      <c r="H86" s="5">
        <v>10419.06</v>
      </c>
      <c r="I86" s="5">
        <v>0</v>
      </c>
      <c r="J86" s="5">
        <v>12080.94</v>
      </c>
      <c r="K86" s="6">
        <v>0.46300000000000002</v>
      </c>
    </row>
    <row r="87" spans="2:11" ht="12.6" customHeight="1" x14ac:dyDescent="0.2">
      <c r="B87" s="4" t="s">
        <v>159</v>
      </c>
      <c r="C87" s="4" t="s">
        <v>160</v>
      </c>
      <c r="D87" s="4" t="s">
        <v>161</v>
      </c>
      <c r="E87" s="5">
        <v>4000</v>
      </c>
      <c r="F87" s="5">
        <v>1390.07</v>
      </c>
      <c r="G87" s="5">
        <v>2609.9299999999998</v>
      </c>
      <c r="H87" s="5">
        <v>1390.07</v>
      </c>
      <c r="I87" s="5">
        <v>0</v>
      </c>
      <c r="J87" s="5">
        <v>2609.9299999999998</v>
      </c>
      <c r="K87" s="6">
        <v>0.34799999999999998</v>
      </c>
    </row>
    <row r="88" spans="2:11" ht="12.6" customHeight="1" x14ac:dyDescent="0.2">
      <c r="B88" s="4" t="s">
        <v>119</v>
      </c>
      <c r="C88" s="4" t="s">
        <v>162</v>
      </c>
      <c r="D88" s="4" t="s">
        <v>121</v>
      </c>
      <c r="E88" s="5">
        <v>13600</v>
      </c>
      <c r="F88" s="5">
        <v>6966.45</v>
      </c>
      <c r="G88" s="5">
        <v>6633.55</v>
      </c>
      <c r="H88" s="5">
        <v>6966.45</v>
      </c>
      <c r="I88" s="5">
        <v>0</v>
      </c>
      <c r="J88" s="5">
        <v>6633.55</v>
      </c>
      <c r="K88" s="6">
        <v>0.51200000000000001</v>
      </c>
    </row>
    <row r="89" spans="2:11" x14ac:dyDescent="0.2">
      <c r="B89" s="4" t="s">
        <v>163</v>
      </c>
      <c r="C89" s="4" t="s">
        <v>164</v>
      </c>
      <c r="D89" s="4" t="s">
        <v>165</v>
      </c>
      <c r="E89" s="5">
        <v>600</v>
      </c>
      <c r="F89" s="5">
        <v>213.91</v>
      </c>
      <c r="G89" s="5">
        <v>386.09</v>
      </c>
      <c r="H89" s="5">
        <v>213.91</v>
      </c>
      <c r="I89" s="5">
        <v>0</v>
      </c>
      <c r="J89" s="5">
        <v>386.09</v>
      </c>
      <c r="K89" s="6">
        <v>0.35699999999999998</v>
      </c>
    </row>
    <row r="90" spans="2:11" ht="12.6" customHeight="1" x14ac:dyDescent="0.2">
      <c r="B90" s="7" t="s">
        <v>26</v>
      </c>
      <c r="E90" s="8">
        <v>690000</v>
      </c>
      <c r="F90" s="8">
        <v>403155.35</v>
      </c>
      <c r="G90" s="8">
        <v>286844.65000000002</v>
      </c>
      <c r="H90" s="8">
        <v>403155.35</v>
      </c>
      <c r="I90" s="8">
        <v>0</v>
      </c>
      <c r="J90" s="8">
        <v>286844.65000000002</v>
      </c>
      <c r="K90" s="9">
        <v>0.58399999999999996</v>
      </c>
    </row>
    <row r="91" spans="2:11" ht="22.5" x14ac:dyDescent="0.2">
      <c r="B91" s="4" t="s">
        <v>57</v>
      </c>
      <c r="C91" s="4" t="s">
        <v>166</v>
      </c>
      <c r="D91" s="4" t="s">
        <v>59</v>
      </c>
      <c r="E91" s="5">
        <v>504200</v>
      </c>
      <c r="F91" s="5">
        <v>286339.08</v>
      </c>
      <c r="G91" s="5">
        <v>217860.92</v>
      </c>
      <c r="H91" s="5">
        <v>286339.08</v>
      </c>
      <c r="I91" s="5">
        <v>0</v>
      </c>
      <c r="J91" s="5">
        <v>217860.92</v>
      </c>
      <c r="K91" s="6">
        <v>0.56799999999999995</v>
      </c>
    </row>
    <row r="92" spans="2:11" ht="12.6" customHeight="1" x14ac:dyDescent="0.2">
      <c r="B92" s="4" t="s">
        <v>60</v>
      </c>
      <c r="C92" s="4" t="s">
        <v>167</v>
      </c>
      <c r="D92" s="4" t="s">
        <v>62</v>
      </c>
      <c r="E92" s="5">
        <v>20000</v>
      </c>
      <c r="F92" s="5">
        <v>34218.71</v>
      </c>
      <c r="G92" s="5">
        <v>-14218.71</v>
      </c>
      <c r="H92" s="5">
        <v>34218.71</v>
      </c>
      <c r="I92" s="5">
        <v>0</v>
      </c>
      <c r="J92" s="5">
        <v>-14218.71</v>
      </c>
      <c r="K92" s="6">
        <v>1.7110000000000001</v>
      </c>
    </row>
    <row r="93" spans="2:11" ht="12.6" customHeight="1" x14ac:dyDescent="0.2">
      <c r="B93" s="4" t="s">
        <v>63</v>
      </c>
      <c r="C93" s="4" t="s">
        <v>168</v>
      </c>
      <c r="D93" s="4" t="s">
        <v>65</v>
      </c>
      <c r="E93" s="5">
        <v>80300</v>
      </c>
      <c r="F93" s="5">
        <v>48276.13</v>
      </c>
      <c r="G93" s="5">
        <v>32023.87</v>
      </c>
      <c r="H93" s="5">
        <v>48276.13</v>
      </c>
      <c r="I93" s="5">
        <v>0</v>
      </c>
      <c r="J93" s="5">
        <v>32023.87</v>
      </c>
      <c r="K93" s="6">
        <v>0.60099999999999998</v>
      </c>
    </row>
    <row r="94" spans="2:11" x14ac:dyDescent="0.2">
      <c r="B94" s="4" t="s">
        <v>130</v>
      </c>
      <c r="C94" s="4" t="s">
        <v>169</v>
      </c>
      <c r="D94" s="4" t="s">
        <v>132</v>
      </c>
      <c r="E94" s="5">
        <v>1600</v>
      </c>
      <c r="F94" s="5">
        <v>812</v>
      </c>
      <c r="G94" s="5">
        <v>788</v>
      </c>
      <c r="H94" s="5">
        <v>812</v>
      </c>
      <c r="I94" s="5">
        <v>0</v>
      </c>
      <c r="J94" s="5">
        <v>788</v>
      </c>
      <c r="K94" s="6">
        <v>0.50800000000000001</v>
      </c>
    </row>
    <row r="95" spans="2:11" ht="12.6" customHeight="1" x14ac:dyDescent="0.2">
      <c r="B95" s="4" t="s">
        <v>66</v>
      </c>
      <c r="C95" s="4" t="s">
        <v>170</v>
      </c>
      <c r="D95" s="4" t="s">
        <v>68</v>
      </c>
      <c r="E95" s="5">
        <v>12600</v>
      </c>
      <c r="F95" s="5">
        <v>6085.38</v>
      </c>
      <c r="G95" s="5">
        <v>6514.62</v>
      </c>
      <c r="H95" s="5">
        <v>6085.38</v>
      </c>
      <c r="I95" s="5">
        <v>0</v>
      </c>
      <c r="J95" s="5">
        <v>6514.62</v>
      </c>
      <c r="K95" s="6">
        <v>0.48299999999999998</v>
      </c>
    </row>
    <row r="96" spans="2:11" ht="12.6" customHeight="1" x14ac:dyDescent="0.2">
      <c r="B96" s="4" t="s">
        <v>69</v>
      </c>
      <c r="C96" s="4" t="s">
        <v>171</v>
      </c>
      <c r="D96" s="4" t="s">
        <v>71</v>
      </c>
      <c r="E96" s="5">
        <v>600</v>
      </c>
      <c r="F96" s="5">
        <v>0</v>
      </c>
      <c r="G96" s="5">
        <v>600</v>
      </c>
      <c r="H96" s="5">
        <v>0</v>
      </c>
      <c r="I96" s="5">
        <v>0</v>
      </c>
      <c r="J96" s="5">
        <v>600</v>
      </c>
      <c r="K96" s="6">
        <v>0</v>
      </c>
    </row>
    <row r="97" spans="2:11" ht="12.6" customHeight="1" x14ac:dyDescent="0.2">
      <c r="B97" s="4" t="s">
        <v>172</v>
      </c>
      <c r="C97" s="4" t="s">
        <v>173</v>
      </c>
      <c r="D97" s="4" t="s">
        <v>174</v>
      </c>
      <c r="E97" s="5">
        <v>1000</v>
      </c>
      <c r="F97" s="5">
        <v>476</v>
      </c>
      <c r="G97" s="5">
        <v>524</v>
      </c>
      <c r="H97" s="5">
        <v>476</v>
      </c>
      <c r="I97" s="5">
        <v>0</v>
      </c>
      <c r="J97" s="5">
        <v>524</v>
      </c>
      <c r="K97" s="6">
        <v>0.47599999999999998</v>
      </c>
    </row>
    <row r="98" spans="2:11" ht="12.6" customHeight="1" x14ac:dyDescent="0.2">
      <c r="B98" s="4" t="s">
        <v>72</v>
      </c>
      <c r="C98" s="4" t="s">
        <v>175</v>
      </c>
      <c r="D98" s="4" t="s">
        <v>74</v>
      </c>
      <c r="E98" s="5">
        <v>1900</v>
      </c>
      <c r="F98" s="5">
        <v>1304</v>
      </c>
      <c r="G98" s="5">
        <v>596</v>
      </c>
      <c r="H98" s="5">
        <v>1304</v>
      </c>
      <c r="I98" s="5">
        <v>0</v>
      </c>
      <c r="J98" s="5">
        <v>596</v>
      </c>
      <c r="K98" s="6">
        <v>0.68600000000000005</v>
      </c>
    </row>
    <row r="99" spans="2:11" x14ac:dyDescent="0.2">
      <c r="B99" s="4" t="s">
        <v>75</v>
      </c>
      <c r="C99" s="4" t="s">
        <v>176</v>
      </c>
      <c r="D99" s="4" t="s">
        <v>77</v>
      </c>
      <c r="E99" s="5">
        <v>1300</v>
      </c>
      <c r="F99" s="5">
        <v>767.16</v>
      </c>
      <c r="G99" s="5">
        <v>532.84</v>
      </c>
      <c r="H99" s="5">
        <v>767.16</v>
      </c>
      <c r="I99" s="5">
        <v>0</v>
      </c>
      <c r="J99" s="5">
        <v>532.84</v>
      </c>
      <c r="K99" s="6">
        <v>0.59</v>
      </c>
    </row>
    <row r="100" spans="2:11" x14ac:dyDescent="0.2">
      <c r="B100" s="4" t="s">
        <v>78</v>
      </c>
      <c r="C100" s="4" t="s">
        <v>177</v>
      </c>
      <c r="D100" s="4" t="s">
        <v>80</v>
      </c>
      <c r="E100" s="5">
        <v>12000</v>
      </c>
      <c r="F100" s="5">
        <v>6576.97</v>
      </c>
      <c r="G100" s="5">
        <v>5423.03</v>
      </c>
      <c r="H100" s="5">
        <v>6576.97</v>
      </c>
      <c r="I100" s="5">
        <v>0</v>
      </c>
      <c r="J100" s="5">
        <v>5423.03</v>
      </c>
      <c r="K100" s="6">
        <v>0.54800000000000004</v>
      </c>
    </row>
    <row r="101" spans="2:11" ht="12.6" customHeight="1" x14ac:dyDescent="0.2">
      <c r="B101" s="4" t="s">
        <v>81</v>
      </c>
      <c r="C101" s="4" t="s">
        <v>178</v>
      </c>
      <c r="D101" s="4" t="s">
        <v>83</v>
      </c>
      <c r="E101" s="5">
        <v>100</v>
      </c>
      <c r="F101" s="5">
        <v>0</v>
      </c>
      <c r="G101" s="5">
        <v>100</v>
      </c>
      <c r="H101" s="5">
        <v>0</v>
      </c>
      <c r="I101" s="5">
        <v>0</v>
      </c>
      <c r="J101" s="5">
        <v>100</v>
      </c>
      <c r="K101" s="6">
        <v>0</v>
      </c>
    </row>
    <row r="102" spans="2:11" ht="12.6" customHeight="1" x14ac:dyDescent="0.2">
      <c r="B102" s="4" t="s">
        <v>84</v>
      </c>
      <c r="C102" s="4" t="s">
        <v>179</v>
      </c>
      <c r="D102" s="4" t="s">
        <v>86</v>
      </c>
      <c r="E102" s="5">
        <v>1300</v>
      </c>
      <c r="F102" s="5">
        <v>0</v>
      </c>
      <c r="G102" s="5">
        <v>1300</v>
      </c>
      <c r="H102" s="5">
        <v>0</v>
      </c>
      <c r="I102" s="5">
        <v>0</v>
      </c>
      <c r="J102" s="5">
        <v>1300</v>
      </c>
      <c r="K102" s="6">
        <v>0</v>
      </c>
    </row>
    <row r="103" spans="2:11" ht="12.6" customHeight="1" x14ac:dyDescent="0.2">
      <c r="B103" s="4" t="s">
        <v>138</v>
      </c>
      <c r="C103" s="4" t="s">
        <v>180</v>
      </c>
      <c r="D103" s="4" t="s">
        <v>140</v>
      </c>
      <c r="E103" s="5">
        <v>200</v>
      </c>
      <c r="F103" s="5">
        <v>0</v>
      </c>
      <c r="G103" s="5">
        <v>200</v>
      </c>
      <c r="H103" s="5">
        <v>0</v>
      </c>
      <c r="I103" s="5">
        <v>0</v>
      </c>
      <c r="J103" s="5">
        <v>200</v>
      </c>
      <c r="K103" s="6">
        <v>0</v>
      </c>
    </row>
    <row r="104" spans="2:11" ht="12.6" customHeight="1" x14ac:dyDescent="0.2">
      <c r="B104" s="4" t="s">
        <v>87</v>
      </c>
      <c r="C104" s="4" t="s">
        <v>181</v>
      </c>
      <c r="D104" s="4" t="s">
        <v>89</v>
      </c>
      <c r="E104" s="5">
        <v>4000</v>
      </c>
      <c r="F104" s="5">
        <v>572.13</v>
      </c>
      <c r="G104" s="5">
        <v>3427.87</v>
      </c>
      <c r="H104" s="5">
        <v>572.13</v>
      </c>
      <c r="I104" s="5">
        <v>0</v>
      </c>
      <c r="J104" s="5">
        <v>3427.87</v>
      </c>
      <c r="K104" s="6">
        <v>0.14299999999999999</v>
      </c>
    </row>
    <row r="105" spans="2:11" ht="12.6" customHeight="1" x14ac:dyDescent="0.2">
      <c r="B105" s="4" t="s">
        <v>38</v>
      </c>
      <c r="C105" s="4" t="s">
        <v>182</v>
      </c>
      <c r="D105" s="4" t="s">
        <v>40</v>
      </c>
      <c r="E105" s="5">
        <v>22300</v>
      </c>
      <c r="F105" s="5">
        <v>7692.55</v>
      </c>
      <c r="G105" s="5">
        <v>14607.45</v>
      </c>
      <c r="H105" s="5">
        <v>7692.55</v>
      </c>
      <c r="I105" s="5">
        <v>0</v>
      </c>
      <c r="J105" s="5">
        <v>14607.45</v>
      </c>
      <c r="K105" s="6">
        <v>0.34499999999999997</v>
      </c>
    </row>
    <row r="106" spans="2:11" x14ac:dyDescent="0.2">
      <c r="B106" s="4" t="s">
        <v>94</v>
      </c>
      <c r="C106" s="4" t="s">
        <v>183</v>
      </c>
      <c r="D106" s="4" t="s">
        <v>96</v>
      </c>
      <c r="E106" s="5">
        <v>8700</v>
      </c>
      <c r="F106" s="5">
        <v>3922.71</v>
      </c>
      <c r="G106" s="5">
        <v>4777.29</v>
      </c>
      <c r="H106" s="5">
        <v>3922.71</v>
      </c>
      <c r="I106" s="5">
        <v>0</v>
      </c>
      <c r="J106" s="5">
        <v>4777.29</v>
      </c>
      <c r="K106" s="6">
        <v>0.45100000000000001</v>
      </c>
    </row>
    <row r="107" spans="2:11" ht="22.5" x14ac:dyDescent="0.2">
      <c r="B107" s="4" t="s">
        <v>97</v>
      </c>
      <c r="C107" s="4" t="s">
        <v>184</v>
      </c>
      <c r="D107" s="4" t="s">
        <v>99</v>
      </c>
      <c r="E107" s="5">
        <v>600</v>
      </c>
      <c r="F107" s="5">
        <v>1809.25</v>
      </c>
      <c r="G107" s="5">
        <v>-1209.25</v>
      </c>
      <c r="H107" s="5">
        <v>1809.25</v>
      </c>
      <c r="I107" s="5">
        <v>0</v>
      </c>
      <c r="J107" s="5">
        <v>-1209.25</v>
      </c>
      <c r="K107" s="6">
        <v>3.0150000000000001</v>
      </c>
    </row>
    <row r="108" spans="2:11" ht="12.6" customHeight="1" x14ac:dyDescent="0.2">
      <c r="B108" s="4" t="s">
        <v>100</v>
      </c>
      <c r="C108" s="4" t="s">
        <v>185</v>
      </c>
      <c r="D108" s="4" t="s">
        <v>102</v>
      </c>
      <c r="E108" s="5">
        <v>700</v>
      </c>
      <c r="F108" s="5">
        <v>0</v>
      </c>
      <c r="G108" s="5">
        <v>700</v>
      </c>
      <c r="H108" s="5">
        <v>0</v>
      </c>
      <c r="I108" s="5">
        <v>0</v>
      </c>
      <c r="J108" s="5">
        <v>700</v>
      </c>
      <c r="K108" s="6">
        <v>0</v>
      </c>
    </row>
    <row r="109" spans="2:11" ht="12.6" customHeight="1" x14ac:dyDescent="0.2">
      <c r="B109" s="4" t="s">
        <v>41</v>
      </c>
      <c r="C109" s="4" t="s">
        <v>186</v>
      </c>
      <c r="D109" s="4" t="s">
        <v>43</v>
      </c>
      <c r="E109" s="5">
        <v>600</v>
      </c>
      <c r="F109" s="5">
        <v>0</v>
      </c>
      <c r="G109" s="5">
        <v>600</v>
      </c>
      <c r="H109" s="5">
        <v>0</v>
      </c>
      <c r="I109" s="5">
        <v>0</v>
      </c>
      <c r="J109" s="5">
        <v>600</v>
      </c>
      <c r="K109" s="6">
        <v>0</v>
      </c>
    </row>
    <row r="110" spans="2:11" x14ac:dyDescent="0.2">
      <c r="B110" s="4" t="s">
        <v>104</v>
      </c>
      <c r="C110" s="4" t="s">
        <v>187</v>
      </c>
      <c r="D110" s="4" t="s">
        <v>106</v>
      </c>
      <c r="E110" s="5">
        <v>5400</v>
      </c>
      <c r="F110" s="5">
        <v>123.55</v>
      </c>
      <c r="G110" s="5">
        <v>5276.45</v>
      </c>
      <c r="H110" s="5">
        <v>123.55</v>
      </c>
      <c r="I110" s="5">
        <v>0</v>
      </c>
      <c r="J110" s="5">
        <v>5276.45</v>
      </c>
      <c r="K110" s="6">
        <v>2.3E-2</v>
      </c>
    </row>
    <row r="111" spans="2:11" x14ac:dyDescent="0.2">
      <c r="B111" s="4" t="s">
        <v>126</v>
      </c>
      <c r="C111" s="4" t="s">
        <v>188</v>
      </c>
      <c r="D111" s="4" t="s">
        <v>128</v>
      </c>
      <c r="E111" s="5">
        <v>2700</v>
      </c>
      <c r="F111" s="5">
        <v>1781.34</v>
      </c>
      <c r="G111" s="5">
        <v>918.66</v>
      </c>
      <c r="H111" s="5">
        <v>1781.34</v>
      </c>
      <c r="I111" s="5">
        <v>0</v>
      </c>
      <c r="J111" s="5">
        <v>918.66</v>
      </c>
      <c r="K111" s="6">
        <v>0.66</v>
      </c>
    </row>
    <row r="112" spans="2:11" x14ac:dyDescent="0.2">
      <c r="B112" s="4" t="s">
        <v>110</v>
      </c>
      <c r="C112" s="4" t="s">
        <v>189</v>
      </c>
      <c r="D112" s="4" t="s">
        <v>112</v>
      </c>
      <c r="E112" s="5">
        <v>1600</v>
      </c>
      <c r="F112" s="5">
        <v>1668.05</v>
      </c>
      <c r="G112" s="5">
        <v>-68.05</v>
      </c>
      <c r="H112" s="5">
        <v>1668.05</v>
      </c>
      <c r="I112" s="5">
        <v>0</v>
      </c>
      <c r="J112" s="5">
        <v>-68.05</v>
      </c>
      <c r="K112" s="6">
        <v>1.0429999999999999</v>
      </c>
    </row>
    <row r="113" spans="2:11" x14ac:dyDescent="0.2">
      <c r="B113" s="4" t="s">
        <v>154</v>
      </c>
      <c r="C113" s="4" t="s">
        <v>190</v>
      </c>
      <c r="D113" s="4" t="s">
        <v>156</v>
      </c>
      <c r="E113" s="5">
        <v>800</v>
      </c>
      <c r="F113" s="5">
        <v>562.46</v>
      </c>
      <c r="G113" s="5">
        <v>237.54</v>
      </c>
      <c r="H113" s="5">
        <v>562.46</v>
      </c>
      <c r="I113" s="5">
        <v>0</v>
      </c>
      <c r="J113" s="5">
        <v>237.54</v>
      </c>
      <c r="K113" s="6">
        <v>0.70299999999999996</v>
      </c>
    </row>
    <row r="114" spans="2:11" x14ac:dyDescent="0.2">
      <c r="B114" s="4" t="s">
        <v>113</v>
      </c>
      <c r="C114" s="4" t="s">
        <v>191</v>
      </c>
      <c r="D114" s="4" t="s">
        <v>115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6">
        <v>0</v>
      </c>
    </row>
    <row r="115" spans="2:11" x14ac:dyDescent="0.2">
      <c r="B115" s="4" t="s">
        <v>116</v>
      </c>
      <c r="C115" s="4" t="s">
        <v>192</v>
      </c>
      <c r="D115" s="4" t="s">
        <v>118</v>
      </c>
      <c r="E115" s="5">
        <v>600</v>
      </c>
      <c r="F115" s="5">
        <v>127.38</v>
      </c>
      <c r="G115" s="5">
        <v>472.62</v>
      </c>
      <c r="H115" s="5">
        <v>127.38</v>
      </c>
      <c r="I115" s="5">
        <v>0</v>
      </c>
      <c r="J115" s="5">
        <v>472.62</v>
      </c>
      <c r="K115" s="6">
        <v>0.21199999999999999</v>
      </c>
    </row>
    <row r="116" spans="2:11" ht="12.6" customHeight="1" x14ac:dyDescent="0.2">
      <c r="B116" s="4" t="s">
        <v>159</v>
      </c>
      <c r="C116" s="4" t="s">
        <v>193</v>
      </c>
      <c r="D116" s="4" t="s">
        <v>161</v>
      </c>
      <c r="E116" s="5">
        <v>2000</v>
      </c>
      <c r="F116" s="5">
        <v>40.5</v>
      </c>
      <c r="G116" s="5">
        <v>1959.5</v>
      </c>
      <c r="H116" s="5">
        <v>40.5</v>
      </c>
      <c r="I116" s="5">
        <v>0</v>
      </c>
      <c r="J116" s="5">
        <v>1959.5</v>
      </c>
      <c r="K116" s="6">
        <v>0.02</v>
      </c>
    </row>
    <row r="117" spans="2:11" ht="12.6" customHeight="1" x14ac:dyDescent="0.2">
      <c r="B117" s="4" t="s">
        <v>119</v>
      </c>
      <c r="C117" s="4" t="s">
        <v>194</v>
      </c>
      <c r="D117" s="4" t="s">
        <v>121</v>
      </c>
      <c r="E117" s="5">
        <v>2700</v>
      </c>
      <c r="F117" s="5">
        <v>0</v>
      </c>
      <c r="G117" s="5">
        <v>2700</v>
      </c>
      <c r="H117" s="5">
        <v>0</v>
      </c>
      <c r="I117" s="5">
        <v>0</v>
      </c>
      <c r="J117" s="5">
        <v>2700</v>
      </c>
      <c r="K117" s="6">
        <v>0</v>
      </c>
    </row>
    <row r="118" spans="2:11" x14ac:dyDescent="0.2">
      <c r="B118" s="4" t="s">
        <v>163</v>
      </c>
      <c r="C118" s="4" t="s">
        <v>195</v>
      </c>
      <c r="D118" s="4" t="s">
        <v>165</v>
      </c>
      <c r="E118" s="5">
        <v>200</v>
      </c>
      <c r="F118" s="5">
        <v>0</v>
      </c>
      <c r="G118" s="5">
        <v>200</v>
      </c>
      <c r="H118" s="5">
        <v>0</v>
      </c>
      <c r="I118" s="5">
        <v>0</v>
      </c>
      <c r="J118" s="5">
        <v>200</v>
      </c>
      <c r="K118" s="6">
        <v>0</v>
      </c>
    </row>
    <row r="119" spans="2:11" ht="12.6" customHeight="1" x14ac:dyDescent="0.2">
      <c r="B119" s="7" t="s">
        <v>34</v>
      </c>
      <c r="E119" s="8">
        <v>1000</v>
      </c>
      <c r="F119" s="8">
        <v>268.10000000000002</v>
      </c>
      <c r="G119" s="8">
        <v>731.9</v>
      </c>
      <c r="H119" s="8">
        <v>268.10000000000002</v>
      </c>
      <c r="I119" s="8">
        <v>0</v>
      </c>
      <c r="J119" s="8">
        <v>731.9</v>
      </c>
      <c r="K119" s="9">
        <v>0.26800000000000002</v>
      </c>
    </row>
    <row r="120" spans="2:11" ht="12.6" customHeight="1" x14ac:dyDescent="0.2">
      <c r="B120" s="4" t="s">
        <v>72</v>
      </c>
      <c r="C120" s="4" t="s">
        <v>196</v>
      </c>
      <c r="D120" s="4" t="s">
        <v>74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6">
        <v>0</v>
      </c>
    </row>
    <row r="121" spans="2:11" x14ac:dyDescent="0.2">
      <c r="B121" s="4" t="s">
        <v>75</v>
      </c>
      <c r="C121" s="4" t="s">
        <v>197</v>
      </c>
      <c r="D121" s="4" t="s">
        <v>77</v>
      </c>
      <c r="E121" s="5">
        <v>100</v>
      </c>
      <c r="F121" s="5">
        <v>0</v>
      </c>
      <c r="G121" s="5">
        <v>100</v>
      </c>
      <c r="H121" s="5">
        <v>0</v>
      </c>
      <c r="I121" s="5">
        <v>0</v>
      </c>
      <c r="J121" s="5">
        <v>100</v>
      </c>
      <c r="K121" s="6">
        <v>0</v>
      </c>
    </row>
    <row r="122" spans="2:11" ht="12.6" customHeight="1" x14ac:dyDescent="0.2">
      <c r="B122" s="4" t="s">
        <v>84</v>
      </c>
      <c r="C122" s="4" t="s">
        <v>198</v>
      </c>
      <c r="D122" s="4" t="s">
        <v>86</v>
      </c>
      <c r="E122" s="5">
        <v>300</v>
      </c>
      <c r="F122" s="5">
        <v>268.10000000000002</v>
      </c>
      <c r="G122" s="5">
        <v>31.9</v>
      </c>
      <c r="H122" s="5">
        <v>268.10000000000002</v>
      </c>
      <c r="I122" s="5">
        <v>0</v>
      </c>
      <c r="J122" s="5">
        <v>31.9</v>
      </c>
      <c r="K122" s="6">
        <v>0.89400000000000002</v>
      </c>
    </row>
    <row r="123" spans="2:11" ht="22.5" x14ac:dyDescent="0.2">
      <c r="B123" s="4" t="s">
        <v>97</v>
      </c>
      <c r="C123" s="4" t="s">
        <v>199</v>
      </c>
      <c r="D123" s="4" t="s">
        <v>99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6">
        <v>0</v>
      </c>
    </row>
    <row r="124" spans="2:11" x14ac:dyDescent="0.2">
      <c r="B124" s="4" t="s">
        <v>154</v>
      </c>
      <c r="C124" s="4" t="s">
        <v>200</v>
      </c>
      <c r="D124" s="4" t="s">
        <v>156</v>
      </c>
      <c r="E124" s="5">
        <v>600</v>
      </c>
      <c r="F124" s="5">
        <v>0</v>
      </c>
      <c r="G124" s="5">
        <v>600</v>
      </c>
      <c r="H124" s="5">
        <v>0</v>
      </c>
      <c r="I124" s="5">
        <v>0</v>
      </c>
      <c r="J124" s="5">
        <v>600</v>
      </c>
      <c r="K124" s="6">
        <v>0</v>
      </c>
    </row>
    <row r="125" spans="2:11" ht="12.6" customHeight="1" x14ac:dyDescent="0.2">
      <c r="B125" s="7" t="s">
        <v>201</v>
      </c>
      <c r="E125" s="8">
        <v>28000</v>
      </c>
      <c r="F125" s="8">
        <v>20388.099999999999</v>
      </c>
      <c r="G125" s="8">
        <v>7611.9</v>
      </c>
      <c r="H125" s="8">
        <v>20388.099999999999</v>
      </c>
      <c r="I125" s="8">
        <v>0</v>
      </c>
      <c r="J125" s="8">
        <v>7611.9</v>
      </c>
      <c r="K125" s="9">
        <v>0.72799999999999998</v>
      </c>
    </row>
    <row r="126" spans="2:11" x14ac:dyDescent="0.2">
      <c r="B126" s="4" t="s">
        <v>130</v>
      </c>
      <c r="C126" s="4" t="s">
        <v>202</v>
      </c>
      <c r="D126" s="4" t="s">
        <v>132</v>
      </c>
      <c r="E126" s="5">
        <v>18000</v>
      </c>
      <c r="F126" s="5">
        <v>18042.53</v>
      </c>
      <c r="G126" s="5">
        <v>-42.53</v>
      </c>
      <c r="H126" s="5">
        <v>18042.53</v>
      </c>
      <c r="I126" s="5">
        <v>0</v>
      </c>
      <c r="J126" s="5">
        <v>-42.53</v>
      </c>
      <c r="K126" s="6">
        <v>1.002</v>
      </c>
    </row>
    <row r="127" spans="2:11" ht="12.6" customHeight="1" x14ac:dyDescent="0.2">
      <c r="B127" s="4" t="s">
        <v>69</v>
      </c>
      <c r="C127" s="4" t="s">
        <v>203</v>
      </c>
      <c r="D127" s="4" t="s">
        <v>71</v>
      </c>
      <c r="E127" s="5">
        <v>4000</v>
      </c>
      <c r="F127" s="5">
        <v>2150</v>
      </c>
      <c r="G127" s="5">
        <v>1850</v>
      </c>
      <c r="H127" s="5">
        <v>2150</v>
      </c>
      <c r="I127" s="5">
        <v>0</v>
      </c>
      <c r="J127" s="5">
        <v>1850</v>
      </c>
      <c r="K127" s="6">
        <v>0.53800000000000003</v>
      </c>
    </row>
    <row r="128" spans="2:11" ht="12.6" customHeight="1" x14ac:dyDescent="0.2">
      <c r="B128" s="4" t="s">
        <v>38</v>
      </c>
      <c r="C128" s="4" t="s">
        <v>204</v>
      </c>
      <c r="D128" s="4" t="s">
        <v>40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6">
        <v>0</v>
      </c>
    </row>
    <row r="129" spans="2:11" ht="12.6" customHeight="1" x14ac:dyDescent="0.2">
      <c r="B129" s="4" t="s">
        <v>91</v>
      </c>
      <c r="C129" s="4" t="s">
        <v>205</v>
      </c>
      <c r="D129" s="4" t="s">
        <v>93</v>
      </c>
      <c r="E129" s="5">
        <v>4000</v>
      </c>
      <c r="F129" s="5">
        <v>0</v>
      </c>
      <c r="G129" s="5">
        <v>4000</v>
      </c>
      <c r="H129" s="5">
        <v>0</v>
      </c>
      <c r="I129" s="5">
        <v>0</v>
      </c>
      <c r="J129" s="5">
        <v>4000</v>
      </c>
      <c r="K129" s="6">
        <v>0</v>
      </c>
    </row>
    <row r="130" spans="2:11" ht="12.6" customHeight="1" x14ac:dyDescent="0.2">
      <c r="B130" s="4" t="s">
        <v>41</v>
      </c>
      <c r="C130" s="4" t="s">
        <v>206</v>
      </c>
      <c r="D130" s="4" t="s">
        <v>43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6">
        <v>0</v>
      </c>
    </row>
    <row r="131" spans="2:11" x14ac:dyDescent="0.2">
      <c r="B131" s="4" t="s">
        <v>154</v>
      </c>
      <c r="C131" s="4" t="s">
        <v>207</v>
      </c>
      <c r="D131" s="4" t="s">
        <v>156</v>
      </c>
      <c r="E131" s="5">
        <v>2000</v>
      </c>
      <c r="F131" s="5">
        <v>195.57</v>
      </c>
      <c r="G131" s="5">
        <v>1804.43</v>
      </c>
      <c r="H131" s="5">
        <v>195.57</v>
      </c>
      <c r="I131" s="5">
        <v>0</v>
      </c>
      <c r="J131" s="5">
        <v>1804.43</v>
      </c>
      <c r="K131" s="6">
        <v>9.8000000000000004E-2</v>
      </c>
    </row>
    <row r="132" spans="2:11" ht="12.6" customHeight="1" x14ac:dyDescent="0.2">
      <c r="B132" s="7" t="s">
        <v>37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9">
        <v>0</v>
      </c>
    </row>
    <row r="133" spans="2:11" ht="12.6" customHeight="1" x14ac:dyDescent="0.2">
      <c r="B133" s="4" t="s">
        <v>41</v>
      </c>
      <c r="C133" s="4" t="s">
        <v>208</v>
      </c>
      <c r="D133" s="4" t="s">
        <v>43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6">
        <v>0</v>
      </c>
    </row>
    <row r="134" spans="2:11" ht="12.6" customHeight="1" x14ac:dyDescent="0.2">
      <c r="B134" s="22" t="s">
        <v>209</v>
      </c>
      <c r="E134" s="23">
        <v>312300</v>
      </c>
      <c r="F134" s="23">
        <v>228626.01</v>
      </c>
      <c r="G134" s="23">
        <v>83673.990000000005</v>
      </c>
      <c r="H134" s="23">
        <v>228626.01</v>
      </c>
      <c r="I134" s="23">
        <v>0</v>
      </c>
      <c r="J134" s="23">
        <v>83673.990000000005</v>
      </c>
      <c r="K134" s="24">
        <v>0.73199999999999998</v>
      </c>
    </row>
    <row r="135" spans="2:11" ht="12.6" customHeight="1" x14ac:dyDescent="0.2">
      <c r="B135" s="7" t="s">
        <v>56</v>
      </c>
      <c r="E135" s="8">
        <v>180000</v>
      </c>
      <c r="F135" s="8">
        <v>176005.63</v>
      </c>
      <c r="G135" s="8">
        <v>3994.37</v>
      </c>
      <c r="H135" s="8">
        <v>176005.63</v>
      </c>
      <c r="I135" s="8">
        <v>0</v>
      </c>
      <c r="J135" s="8">
        <v>3994.37</v>
      </c>
      <c r="K135" s="9">
        <v>0.97799999999999998</v>
      </c>
    </row>
    <row r="136" spans="2:11" ht="12.6" customHeight="1" x14ac:dyDescent="0.2">
      <c r="B136" s="4" t="s">
        <v>172</v>
      </c>
      <c r="C136" s="4" t="s">
        <v>210</v>
      </c>
      <c r="D136" s="4" t="s">
        <v>174</v>
      </c>
      <c r="E136" s="5">
        <v>5000</v>
      </c>
      <c r="F136" s="5">
        <v>0</v>
      </c>
      <c r="G136" s="5">
        <v>5000</v>
      </c>
      <c r="H136" s="5">
        <v>0</v>
      </c>
      <c r="I136" s="5">
        <v>0</v>
      </c>
      <c r="J136" s="5">
        <v>5000</v>
      </c>
      <c r="K136" s="6">
        <v>0</v>
      </c>
    </row>
    <row r="137" spans="2:11" ht="12.6" customHeight="1" x14ac:dyDescent="0.2">
      <c r="B137" s="4" t="s">
        <v>72</v>
      </c>
      <c r="C137" s="4" t="s">
        <v>211</v>
      </c>
      <c r="D137" s="4" t="s">
        <v>74</v>
      </c>
      <c r="E137" s="5">
        <v>60000</v>
      </c>
      <c r="F137" s="5">
        <v>60000</v>
      </c>
      <c r="G137" s="5">
        <v>0</v>
      </c>
      <c r="H137" s="5">
        <v>60000</v>
      </c>
      <c r="I137" s="5">
        <v>0</v>
      </c>
      <c r="J137" s="5">
        <v>0</v>
      </c>
      <c r="K137" s="6">
        <v>1</v>
      </c>
    </row>
    <row r="138" spans="2:11" x14ac:dyDescent="0.2">
      <c r="B138" s="4" t="s">
        <v>75</v>
      </c>
      <c r="C138" s="4" t="s">
        <v>212</v>
      </c>
      <c r="D138" s="4" t="s">
        <v>77</v>
      </c>
      <c r="E138" s="5">
        <v>11200</v>
      </c>
      <c r="F138" s="5">
        <v>5063.03</v>
      </c>
      <c r="G138" s="5">
        <v>6136.97</v>
      </c>
      <c r="H138" s="5">
        <v>5063.03</v>
      </c>
      <c r="I138" s="5">
        <v>0</v>
      </c>
      <c r="J138" s="5">
        <v>6136.97</v>
      </c>
      <c r="K138" s="6">
        <v>0.45200000000000001</v>
      </c>
    </row>
    <row r="139" spans="2:11" ht="12.6" customHeight="1" x14ac:dyDescent="0.2">
      <c r="B139" s="4" t="s">
        <v>87</v>
      </c>
      <c r="C139" s="4" t="s">
        <v>213</v>
      </c>
      <c r="D139" s="4" t="s">
        <v>89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6">
        <v>0</v>
      </c>
    </row>
    <row r="140" spans="2:11" ht="12.6" customHeight="1" x14ac:dyDescent="0.2">
      <c r="B140" s="4" t="s">
        <v>38</v>
      </c>
      <c r="C140" s="4" t="s">
        <v>214</v>
      </c>
      <c r="D140" s="4" t="s">
        <v>40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6">
        <v>0</v>
      </c>
    </row>
    <row r="141" spans="2:11" ht="12.6" customHeight="1" x14ac:dyDescent="0.2">
      <c r="B141" s="4" t="s">
        <v>91</v>
      </c>
      <c r="C141" s="4" t="s">
        <v>215</v>
      </c>
      <c r="D141" s="4" t="s">
        <v>93</v>
      </c>
      <c r="E141" s="5">
        <v>900</v>
      </c>
      <c r="F141" s="5">
        <v>591.25</v>
      </c>
      <c r="G141" s="5">
        <v>308.75</v>
      </c>
      <c r="H141" s="5">
        <v>591.25</v>
      </c>
      <c r="I141" s="5">
        <v>0</v>
      </c>
      <c r="J141" s="5">
        <v>308.75</v>
      </c>
      <c r="K141" s="6">
        <v>0.65700000000000003</v>
      </c>
    </row>
    <row r="142" spans="2:11" ht="22.5" x14ac:dyDescent="0.2">
      <c r="B142" s="4" t="s">
        <v>97</v>
      </c>
      <c r="C142" s="4" t="s">
        <v>216</v>
      </c>
      <c r="D142" s="4" t="s">
        <v>99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6">
        <v>0</v>
      </c>
    </row>
    <row r="143" spans="2:11" ht="12.6" customHeight="1" x14ac:dyDescent="0.2">
      <c r="B143" s="4" t="s">
        <v>41</v>
      </c>
      <c r="C143" s="4" t="s">
        <v>217</v>
      </c>
      <c r="D143" s="4" t="s">
        <v>43</v>
      </c>
      <c r="E143" s="5">
        <v>58800</v>
      </c>
      <c r="F143" s="5">
        <v>74866.350000000006</v>
      </c>
      <c r="G143" s="5">
        <v>-16066.35</v>
      </c>
      <c r="H143" s="5">
        <v>74866.350000000006</v>
      </c>
      <c r="I143" s="5">
        <v>0</v>
      </c>
      <c r="J143" s="5">
        <v>-16066.35</v>
      </c>
      <c r="K143" s="6">
        <v>1.2729999999999999</v>
      </c>
    </row>
    <row r="144" spans="2:11" x14ac:dyDescent="0.2">
      <c r="B144" s="4" t="s">
        <v>104</v>
      </c>
      <c r="C144" s="4" t="s">
        <v>218</v>
      </c>
      <c r="D144" s="4" t="s">
        <v>106</v>
      </c>
      <c r="E144" s="5">
        <v>23000</v>
      </c>
      <c r="F144" s="5">
        <v>23000</v>
      </c>
      <c r="G144" s="5">
        <v>0</v>
      </c>
      <c r="H144" s="5">
        <v>23000</v>
      </c>
      <c r="I144" s="5">
        <v>0</v>
      </c>
      <c r="J144" s="5">
        <v>0</v>
      </c>
      <c r="K144" s="6">
        <v>1</v>
      </c>
    </row>
    <row r="145" spans="2:11" x14ac:dyDescent="0.2">
      <c r="B145" s="4" t="s">
        <v>126</v>
      </c>
      <c r="C145" s="4" t="s">
        <v>219</v>
      </c>
      <c r="D145" s="4" t="s">
        <v>128</v>
      </c>
      <c r="E145" s="5">
        <v>21100</v>
      </c>
      <c r="F145" s="5">
        <v>12485</v>
      </c>
      <c r="G145" s="5">
        <v>8615</v>
      </c>
      <c r="H145" s="5">
        <v>12485</v>
      </c>
      <c r="I145" s="5">
        <v>0</v>
      </c>
      <c r="J145" s="5">
        <v>8615</v>
      </c>
      <c r="K145" s="6">
        <v>0.59199999999999997</v>
      </c>
    </row>
    <row r="146" spans="2:11" x14ac:dyDescent="0.2">
      <c r="B146" s="4" t="s">
        <v>154</v>
      </c>
      <c r="C146" s="4" t="s">
        <v>220</v>
      </c>
      <c r="D146" s="4" t="s">
        <v>156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6">
        <v>0</v>
      </c>
    </row>
    <row r="147" spans="2:11" ht="12.6" customHeight="1" x14ac:dyDescent="0.2">
      <c r="B147" s="7" t="s">
        <v>129</v>
      </c>
      <c r="E147" s="8">
        <v>56300</v>
      </c>
      <c r="F147" s="8">
        <v>32214.83</v>
      </c>
      <c r="G147" s="8">
        <v>24085.17</v>
      </c>
      <c r="H147" s="8">
        <v>32214.83</v>
      </c>
      <c r="I147" s="8">
        <v>0</v>
      </c>
      <c r="J147" s="8">
        <v>24085.17</v>
      </c>
      <c r="K147" s="9">
        <v>0.57199999999999995</v>
      </c>
    </row>
    <row r="148" spans="2:11" x14ac:dyDescent="0.2">
      <c r="B148" s="4" t="s">
        <v>130</v>
      </c>
      <c r="C148" s="4" t="s">
        <v>221</v>
      </c>
      <c r="D148" s="4" t="s">
        <v>132</v>
      </c>
      <c r="E148" s="5">
        <v>20000</v>
      </c>
      <c r="F148" s="5">
        <v>11071.82</v>
      </c>
      <c r="G148" s="5">
        <v>8928.18</v>
      </c>
      <c r="H148" s="5">
        <v>11071.82</v>
      </c>
      <c r="I148" s="5">
        <v>0</v>
      </c>
      <c r="J148" s="5">
        <v>8928.18</v>
      </c>
      <c r="K148" s="6">
        <v>0.55400000000000005</v>
      </c>
    </row>
    <row r="149" spans="2:11" ht="12.6" customHeight="1" x14ac:dyDescent="0.2">
      <c r="B149" s="4" t="s">
        <v>69</v>
      </c>
      <c r="C149" s="4" t="s">
        <v>222</v>
      </c>
      <c r="D149" s="4" t="s">
        <v>71</v>
      </c>
      <c r="E149" s="5">
        <v>2000</v>
      </c>
      <c r="F149" s="5">
        <v>1371.47</v>
      </c>
      <c r="G149" s="5">
        <v>628.53</v>
      </c>
      <c r="H149" s="5">
        <v>1371.47</v>
      </c>
      <c r="I149" s="5">
        <v>0</v>
      </c>
      <c r="J149" s="5">
        <v>628.53</v>
      </c>
      <c r="K149" s="6">
        <v>0.68600000000000005</v>
      </c>
    </row>
    <row r="150" spans="2:11" ht="12.6" customHeight="1" x14ac:dyDescent="0.2">
      <c r="B150" s="4" t="s">
        <v>72</v>
      </c>
      <c r="C150" s="4" t="s">
        <v>223</v>
      </c>
      <c r="D150" s="4" t="s">
        <v>74</v>
      </c>
      <c r="E150" s="5">
        <v>1000</v>
      </c>
      <c r="F150" s="5">
        <v>1667.43</v>
      </c>
      <c r="G150" s="5">
        <v>-667.43</v>
      </c>
      <c r="H150" s="5">
        <v>1667.43</v>
      </c>
      <c r="I150" s="5">
        <v>0</v>
      </c>
      <c r="J150" s="5">
        <v>-667.43</v>
      </c>
      <c r="K150" s="6">
        <v>1.667</v>
      </c>
    </row>
    <row r="151" spans="2:11" x14ac:dyDescent="0.2">
      <c r="B151" s="4" t="s">
        <v>75</v>
      </c>
      <c r="C151" s="4" t="s">
        <v>224</v>
      </c>
      <c r="D151" s="4" t="s">
        <v>77</v>
      </c>
      <c r="E151" s="5">
        <v>1000</v>
      </c>
      <c r="F151" s="5">
        <v>807.99</v>
      </c>
      <c r="G151" s="5">
        <v>192.01</v>
      </c>
      <c r="H151" s="5">
        <v>807.99</v>
      </c>
      <c r="I151" s="5">
        <v>0</v>
      </c>
      <c r="J151" s="5">
        <v>192.01</v>
      </c>
      <c r="K151" s="6">
        <v>0.80800000000000005</v>
      </c>
    </row>
    <row r="152" spans="2:11" ht="12.6" customHeight="1" x14ac:dyDescent="0.2">
      <c r="B152" s="4" t="s">
        <v>84</v>
      </c>
      <c r="C152" s="4" t="s">
        <v>225</v>
      </c>
      <c r="D152" s="4" t="s">
        <v>86</v>
      </c>
      <c r="E152" s="5">
        <v>1000</v>
      </c>
      <c r="F152" s="5">
        <v>405.5</v>
      </c>
      <c r="G152" s="5">
        <v>594.5</v>
      </c>
      <c r="H152" s="5">
        <v>405.5</v>
      </c>
      <c r="I152" s="5">
        <v>0</v>
      </c>
      <c r="J152" s="5">
        <v>594.5</v>
      </c>
      <c r="K152" s="6">
        <v>0.40600000000000003</v>
      </c>
    </row>
    <row r="153" spans="2:11" ht="12.6" customHeight="1" x14ac:dyDescent="0.2">
      <c r="B153" s="4" t="s">
        <v>87</v>
      </c>
      <c r="C153" s="4" t="s">
        <v>226</v>
      </c>
      <c r="D153" s="4" t="s">
        <v>89</v>
      </c>
      <c r="E153" s="5">
        <v>500</v>
      </c>
      <c r="F153" s="5">
        <v>9.2899999999999991</v>
      </c>
      <c r="G153" s="5">
        <v>490.71</v>
      </c>
      <c r="H153" s="5">
        <v>9.2899999999999991</v>
      </c>
      <c r="I153" s="5">
        <v>0</v>
      </c>
      <c r="J153" s="5">
        <v>490.71</v>
      </c>
      <c r="K153" s="6">
        <v>1.9E-2</v>
      </c>
    </row>
    <row r="154" spans="2:11" ht="12.6" customHeight="1" x14ac:dyDescent="0.2">
      <c r="B154" s="4" t="s">
        <v>91</v>
      </c>
      <c r="C154" s="4" t="s">
        <v>227</v>
      </c>
      <c r="D154" s="4" t="s">
        <v>93</v>
      </c>
      <c r="E154" s="5">
        <v>700</v>
      </c>
      <c r="F154" s="5">
        <v>0</v>
      </c>
      <c r="G154" s="5">
        <v>700</v>
      </c>
      <c r="H154" s="5">
        <v>0</v>
      </c>
      <c r="I154" s="5">
        <v>0</v>
      </c>
      <c r="J154" s="5">
        <v>700</v>
      </c>
      <c r="K154" s="6">
        <v>0</v>
      </c>
    </row>
    <row r="155" spans="2:11" ht="22.5" x14ac:dyDescent="0.2">
      <c r="B155" s="4" t="s">
        <v>97</v>
      </c>
      <c r="C155" s="4" t="s">
        <v>228</v>
      </c>
      <c r="D155" s="4" t="s">
        <v>99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6">
        <v>0</v>
      </c>
    </row>
    <row r="156" spans="2:11" ht="12.6" customHeight="1" x14ac:dyDescent="0.2">
      <c r="B156" s="4" t="s">
        <v>41</v>
      </c>
      <c r="C156" s="4" t="s">
        <v>229</v>
      </c>
      <c r="D156" s="4" t="s">
        <v>43</v>
      </c>
      <c r="E156" s="5">
        <v>22100</v>
      </c>
      <c r="F156" s="5">
        <v>14297.42</v>
      </c>
      <c r="G156" s="5">
        <v>7802.58</v>
      </c>
      <c r="H156" s="5">
        <v>14297.42</v>
      </c>
      <c r="I156" s="5">
        <v>0</v>
      </c>
      <c r="J156" s="5">
        <v>7802.58</v>
      </c>
      <c r="K156" s="6">
        <v>0.64700000000000002</v>
      </c>
    </row>
    <row r="157" spans="2:11" x14ac:dyDescent="0.2">
      <c r="B157" s="4" t="s">
        <v>104</v>
      </c>
      <c r="C157" s="4" t="s">
        <v>230</v>
      </c>
      <c r="D157" s="4" t="s">
        <v>106</v>
      </c>
      <c r="E157" s="5">
        <v>1000</v>
      </c>
      <c r="F157" s="5">
        <v>0</v>
      </c>
      <c r="G157" s="5">
        <v>1000</v>
      </c>
      <c r="H157" s="5">
        <v>0</v>
      </c>
      <c r="I157" s="5">
        <v>0</v>
      </c>
      <c r="J157" s="5">
        <v>1000</v>
      </c>
      <c r="K157" s="6">
        <v>0</v>
      </c>
    </row>
    <row r="158" spans="2:11" x14ac:dyDescent="0.2">
      <c r="B158" s="4" t="s">
        <v>126</v>
      </c>
      <c r="C158" s="4" t="s">
        <v>231</v>
      </c>
      <c r="D158" s="4" t="s">
        <v>128</v>
      </c>
      <c r="E158" s="5">
        <v>4000</v>
      </c>
      <c r="F158" s="5">
        <v>1419.33</v>
      </c>
      <c r="G158" s="5">
        <v>2580.67</v>
      </c>
      <c r="H158" s="5">
        <v>1419.33</v>
      </c>
      <c r="I158" s="5">
        <v>0</v>
      </c>
      <c r="J158" s="5">
        <v>2580.67</v>
      </c>
      <c r="K158" s="6">
        <v>0.35499999999999998</v>
      </c>
    </row>
    <row r="159" spans="2:11" x14ac:dyDescent="0.2">
      <c r="B159" s="4" t="s">
        <v>154</v>
      </c>
      <c r="C159" s="4" t="s">
        <v>232</v>
      </c>
      <c r="D159" s="4" t="s">
        <v>156</v>
      </c>
      <c r="E159" s="5">
        <v>3000</v>
      </c>
      <c r="F159" s="5">
        <v>1164.58</v>
      </c>
      <c r="G159" s="5">
        <v>1835.42</v>
      </c>
      <c r="H159" s="5">
        <v>1164.58</v>
      </c>
      <c r="I159" s="5">
        <v>0</v>
      </c>
      <c r="J159" s="5">
        <v>1835.42</v>
      </c>
      <c r="K159" s="6">
        <v>0.38800000000000001</v>
      </c>
    </row>
    <row r="160" spans="2:11" ht="12.6" customHeight="1" x14ac:dyDescent="0.2">
      <c r="B160" s="7" t="s">
        <v>26</v>
      </c>
      <c r="E160" s="8">
        <v>73100</v>
      </c>
      <c r="F160" s="8">
        <v>19280.669999999998</v>
      </c>
      <c r="G160" s="8">
        <v>53819.33</v>
      </c>
      <c r="H160" s="8">
        <v>19280.669999999998</v>
      </c>
      <c r="I160" s="8">
        <v>0</v>
      </c>
      <c r="J160" s="8">
        <v>53819.33</v>
      </c>
      <c r="K160" s="9">
        <v>0.26400000000000001</v>
      </c>
    </row>
    <row r="161" spans="2:11" x14ac:dyDescent="0.2">
      <c r="B161" s="4" t="s">
        <v>130</v>
      </c>
      <c r="C161" s="4" t="s">
        <v>233</v>
      </c>
      <c r="D161" s="4" t="s">
        <v>132</v>
      </c>
      <c r="E161" s="5">
        <v>6000</v>
      </c>
      <c r="F161" s="5">
        <v>1705.79</v>
      </c>
      <c r="G161" s="5">
        <v>4294.21</v>
      </c>
      <c r="H161" s="5">
        <v>1705.79</v>
      </c>
      <c r="I161" s="5">
        <v>0</v>
      </c>
      <c r="J161" s="5">
        <v>4294.21</v>
      </c>
      <c r="K161" s="6">
        <v>0.28399999999999997</v>
      </c>
    </row>
    <row r="162" spans="2:11" ht="12.6" customHeight="1" x14ac:dyDescent="0.2">
      <c r="B162" s="4" t="s">
        <v>69</v>
      </c>
      <c r="C162" s="4" t="s">
        <v>234</v>
      </c>
      <c r="D162" s="4" t="s">
        <v>71</v>
      </c>
      <c r="E162" s="5">
        <v>4000</v>
      </c>
      <c r="F162" s="5">
        <v>1425</v>
      </c>
      <c r="G162" s="5">
        <v>2575</v>
      </c>
      <c r="H162" s="5">
        <v>1425</v>
      </c>
      <c r="I162" s="5">
        <v>0</v>
      </c>
      <c r="J162" s="5">
        <v>2575</v>
      </c>
      <c r="K162" s="6">
        <v>0.35599999999999998</v>
      </c>
    </row>
    <row r="163" spans="2:11" ht="12.6" customHeight="1" x14ac:dyDescent="0.2">
      <c r="B163" s="4" t="s">
        <v>72</v>
      </c>
      <c r="C163" s="4" t="s">
        <v>235</v>
      </c>
      <c r="D163" s="4" t="s">
        <v>74</v>
      </c>
      <c r="E163" s="5">
        <v>0</v>
      </c>
      <c r="F163" s="5">
        <v>221.98</v>
      </c>
      <c r="G163" s="5">
        <v>-221.98</v>
      </c>
      <c r="H163" s="5">
        <v>221.98</v>
      </c>
      <c r="I163" s="5">
        <v>0</v>
      </c>
      <c r="J163" s="5">
        <v>-221.98</v>
      </c>
      <c r="K163" s="6">
        <v>0</v>
      </c>
    </row>
    <row r="164" spans="2:11" x14ac:dyDescent="0.2">
      <c r="B164" s="4" t="s">
        <v>75</v>
      </c>
      <c r="C164" s="4" t="s">
        <v>236</v>
      </c>
      <c r="D164" s="4" t="s">
        <v>77</v>
      </c>
      <c r="E164" s="5">
        <v>2000</v>
      </c>
      <c r="F164" s="5">
        <v>0</v>
      </c>
      <c r="G164" s="5">
        <v>2000</v>
      </c>
      <c r="H164" s="5">
        <v>0</v>
      </c>
      <c r="I164" s="5">
        <v>0</v>
      </c>
      <c r="J164" s="5">
        <v>2000</v>
      </c>
      <c r="K164" s="6">
        <v>0</v>
      </c>
    </row>
    <row r="165" spans="2:11" x14ac:dyDescent="0.2">
      <c r="B165" s="4" t="s">
        <v>78</v>
      </c>
      <c r="C165" s="4" t="s">
        <v>237</v>
      </c>
      <c r="D165" s="4" t="s">
        <v>80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6">
        <v>0</v>
      </c>
    </row>
    <row r="166" spans="2:11" ht="12.6" customHeight="1" x14ac:dyDescent="0.2">
      <c r="B166" s="4" t="s">
        <v>81</v>
      </c>
      <c r="C166" s="4" t="s">
        <v>238</v>
      </c>
      <c r="D166" s="4" t="s">
        <v>83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6">
        <v>0</v>
      </c>
    </row>
    <row r="167" spans="2:11" ht="12.6" customHeight="1" x14ac:dyDescent="0.2">
      <c r="B167" s="4" t="s">
        <v>84</v>
      </c>
      <c r="C167" s="4" t="s">
        <v>239</v>
      </c>
      <c r="D167" s="4" t="s">
        <v>86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6">
        <v>0</v>
      </c>
    </row>
    <row r="168" spans="2:11" ht="12.6" customHeight="1" x14ac:dyDescent="0.2">
      <c r="B168" s="4" t="s">
        <v>87</v>
      </c>
      <c r="C168" s="4" t="s">
        <v>240</v>
      </c>
      <c r="D168" s="4" t="s">
        <v>89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6">
        <v>0</v>
      </c>
    </row>
    <row r="169" spans="2:11" ht="12.6" customHeight="1" x14ac:dyDescent="0.2">
      <c r="B169" s="4" t="s">
        <v>91</v>
      </c>
      <c r="C169" s="4" t="s">
        <v>241</v>
      </c>
      <c r="D169" s="4" t="s">
        <v>93</v>
      </c>
      <c r="E169" s="5">
        <v>1800</v>
      </c>
      <c r="F169" s="5">
        <v>64.8</v>
      </c>
      <c r="G169" s="5">
        <v>1735.2</v>
      </c>
      <c r="H169" s="5">
        <v>64.8</v>
      </c>
      <c r="I169" s="5">
        <v>0</v>
      </c>
      <c r="J169" s="5">
        <v>1735.2</v>
      </c>
      <c r="K169" s="6">
        <v>3.5999999999999997E-2</v>
      </c>
    </row>
    <row r="170" spans="2:11" ht="22.5" x14ac:dyDescent="0.2">
      <c r="B170" s="4" t="s">
        <v>97</v>
      </c>
      <c r="C170" s="4" t="s">
        <v>242</v>
      </c>
      <c r="D170" s="4" t="s">
        <v>99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6">
        <v>0</v>
      </c>
    </row>
    <row r="171" spans="2:11" ht="12.6" customHeight="1" x14ac:dyDescent="0.2">
      <c r="B171" s="4" t="s">
        <v>41</v>
      </c>
      <c r="C171" s="4" t="s">
        <v>243</v>
      </c>
      <c r="D171" s="4" t="s">
        <v>43</v>
      </c>
      <c r="E171" s="5">
        <v>28500</v>
      </c>
      <c r="F171" s="5">
        <v>10336.42</v>
      </c>
      <c r="G171" s="5">
        <v>18163.580000000002</v>
      </c>
      <c r="H171" s="5">
        <v>10336.42</v>
      </c>
      <c r="I171" s="5">
        <v>0</v>
      </c>
      <c r="J171" s="5">
        <v>18163.580000000002</v>
      </c>
      <c r="K171" s="6">
        <v>0.36299999999999999</v>
      </c>
    </row>
    <row r="172" spans="2:11" x14ac:dyDescent="0.2">
      <c r="B172" s="4" t="s">
        <v>104</v>
      </c>
      <c r="C172" s="4" t="s">
        <v>244</v>
      </c>
      <c r="D172" s="4" t="s">
        <v>106</v>
      </c>
      <c r="E172" s="5">
        <v>13500</v>
      </c>
      <c r="F172" s="5">
        <v>82.5</v>
      </c>
      <c r="G172" s="5">
        <v>13417.5</v>
      </c>
      <c r="H172" s="5">
        <v>82.5</v>
      </c>
      <c r="I172" s="5">
        <v>0</v>
      </c>
      <c r="J172" s="5">
        <v>13417.5</v>
      </c>
      <c r="K172" s="6">
        <v>6.0000000000000001E-3</v>
      </c>
    </row>
    <row r="173" spans="2:11" x14ac:dyDescent="0.2">
      <c r="B173" s="4" t="s">
        <v>126</v>
      </c>
      <c r="C173" s="4" t="s">
        <v>245</v>
      </c>
      <c r="D173" s="4" t="s">
        <v>128</v>
      </c>
      <c r="E173" s="5">
        <v>11000</v>
      </c>
      <c r="F173" s="5">
        <v>3269.46</v>
      </c>
      <c r="G173" s="5">
        <v>7730.54</v>
      </c>
      <c r="H173" s="5">
        <v>3269.46</v>
      </c>
      <c r="I173" s="5">
        <v>0</v>
      </c>
      <c r="J173" s="5">
        <v>7730.54</v>
      </c>
      <c r="K173" s="6">
        <v>0.29699999999999999</v>
      </c>
    </row>
    <row r="174" spans="2:11" ht="12.6" customHeight="1" x14ac:dyDescent="0.2">
      <c r="B174" s="4" t="s">
        <v>150</v>
      </c>
      <c r="C174" s="4" t="s">
        <v>246</v>
      </c>
      <c r="D174" s="4" t="s">
        <v>152</v>
      </c>
      <c r="E174" s="5">
        <v>1000</v>
      </c>
      <c r="F174" s="5">
        <v>0</v>
      </c>
      <c r="G174" s="5">
        <v>1000</v>
      </c>
      <c r="H174" s="5">
        <v>0</v>
      </c>
      <c r="I174" s="5">
        <v>0</v>
      </c>
      <c r="J174" s="5">
        <v>1000</v>
      </c>
      <c r="K174" s="6">
        <v>0</v>
      </c>
    </row>
    <row r="175" spans="2:11" x14ac:dyDescent="0.2">
      <c r="B175" s="4" t="s">
        <v>154</v>
      </c>
      <c r="C175" s="4" t="s">
        <v>247</v>
      </c>
      <c r="D175" s="4" t="s">
        <v>156</v>
      </c>
      <c r="E175" s="5">
        <v>3300</v>
      </c>
      <c r="F175" s="5">
        <v>174.72</v>
      </c>
      <c r="G175" s="5">
        <v>3125.28</v>
      </c>
      <c r="H175" s="5">
        <v>174.72</v>
      </c>
      <c r="I175" s="5">
        <v>0</v>
      </c>
      <c r="J175" s="5">
        <v>3125.28</v>
      </c>
      <c r="K175" s="6">
        <v>5.2999999999999999E-2</v>
      </c>
    </row>
    <row r="176" spans="2:11" x14ac:dyDescent="0.2">
      <c r="B176" s="4" t="s">
        <v>113</v>
      </c>
      <c r="C176" s="4" t="s">
        <v>248</v>
      </c>
      <c r="D176" s="4" t="s">
        <v>115</v>
      </c>
      <c r="E176" s="5">
        <v>2000</v>
      </c>
      <c r="F176" s="5">
        <v>2000</v>
      </c>
      <c r="G176" s="5">
        <v>0</v>
      </c>
      <c r="H176" s="5">
        <v>2000</v>
      </c>
      <c r="I176" s="5">
        <v>0</v>
      </c>
      <c r="J176" s="5">
        <v>0</v>
      </c>
      <c r="K176" s="6">
        <v>1</v>
      </c>
    </row>
    <row r="177" spans="2:11" ht="12.6" customHeight="1" x14ac:dyDescent="0.2">
      <c r="B177" s="4" t="s">
        <v>159</v>
      </c>
      <c r="C177" s="4" t="s">
        <v>249</v>
      </c>
      <c r="D177" s="4" t="s">
        <v>161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6">
        <v>0</v>
      </c>
    </row>
    <row r="178" spans="2:11" ht="12.6" customHeight="1" x14ac:dyDescent="0.2">
      <c r="B178" s="7" t="s">
        <v>34</v>
      </c>
      <c r="E178" s="8">
        <v>2900</v>
      </c>
      <c r="F178" s="8">
        <v>1124.8800000000001</v>
      </c>
      <c r="G178" s="8">
        <v>1775.12</v>
      </c>
      <c r="H178" s="8">
        <v>1124.8800000000001</v>
      </c>
      <c r="I178" s="8">
        <v>0</v>
      </c>
      <c r="J178" s="8">
        <v>1775.12</v>
      </c>
      <c r="K178" s="9">
        <v>0.38800000000000001</v>
      </c>
    </row>
    <row r="179" spans="2:11" ht="12.6" customHeight="1" x14ac:dyDescent="0.2">
      <c r="B179" s="4" t="s">
        <v>72</v>
      </c>
      <c r="C179" s="4" t="s">
        <v>250</v>
      </c>
      <c r="D179" s="4" t="s">
        <v>74</v>
      </c>
      <c r="E179" s="5">
        <v>100</v>
      </c>
      <c r="F179" s="5">
        <v>10.5</v>
      </c>
      <c r="G179" s="5">
        <v>89.5</v>
      </c>
      <c r="H179" s="5">
        <v>10.5</v>
      </c>
      <c r="I179" s="5">
        <v>0</v>
      </c>
      <c r="J179" s="5">
        <v>89.5</v>
      </c>
      <c r="K179" s="6">
        <v>0.105</v>
      </c>
    </row>
    <row r="180" spans="2:11" x14ac:dyDescent="0.2">
      <c r="B180" s="4" t="s">
        <v>75</v>
      </c>
      <c r="C180" s="4" t="s">
        <v>251</v>
      </c>
      <c r="D180" s="4" t="s">
        <v>77</v>
      </c>
      <c r="E180" s="5">
        <v>400</v>
      </c>
      <c r="F180" s="5">
        <v>39.99</v>
      </c>
      <c r="G180" s="5">
        <v>360.01</v>
      </c>
      <c r="H180" s="5">
        <v>39.99</v>
      </c>
      <c r="I180" s="5">
        <v>0</v>
      </c>
      <c r="J180" s="5">
        <v>360.01</v>
      </c>
      <c r="K180" s="6">
        <v>0.1</v>
      </c>
    </row>
    <row r="181" spans="2:11" ht="12.6" customHeight="1" x14ac:dyDescent="0.2">
      <c r="B181" s="4" t="s">
        <v>81</v>
      </c>
      <c r="C181" s="4" t="s">
        <v>252</v>
      </c>
      <c r="D181" s="4" t="s">
        <v>83</v>
      </c>
      <c r="E181" s="5">
        <v>100</v>
      </c>
      <c r="F181" s="5">
        <v>0</v>
      </c>
      <c r="G181" s="5">
        <v>100</v>
      </c>
      <c r="H181" s="5">
        <v>0</v>
      </c>
      <c r="I181" s="5">
        <v>0</v>
      </c>
      <c r="J181" s="5">
        <v>100</v>
      </c>
      <c r="K181" s="6">
        <v>0</v>
      </c>
    </row>
    <row r="182" spans="2:11" ht="12.6" customHeight="1" x14ac:dyDescent="0.2">
      <c r="B182" s="4" t="s">
        <v>91</v>
      </c>
      <c r="C182" s="4" t="s">
        <v>253</v>
      </c>
      <c r="D182" s="4" t="s">
        <v>93</v>
      </c>
      <c r="E182" s="5">
        <v>800</v>
      </c>
      <c r="F182" s="5">
        <v>0</v>
      </c>
      <c r="G182" s="5">
        <v>800</v>
      </c>
      <c r="H182" s="5">
        <v>0</v>
      </c>
      <c r="I182" s="5">
        <v>0</v>
      </c>
      <c r="J182" s="5">
        <v>800</v>
      </c>
      <c r="K182" s="6">
        <v>0</v>
      </c>
    </row>
    <row r="183" spans="2:11" ht="12.6" customHeight="1" x14ac:dyDescent="0.2">
      <c r="B183" s="4" t="s">
        <v>41</v>
      </c>
      <c r="C183" s="4" t="s">
        <v>254</v>
      </c>
      <c r="D183" s="4" t="s">
        <v>43</v>
      </c>
      <c r="E183" s="5">
        <v>1100</v>
      </c>
      <c r="F183" s="5">
        <v>730.64</v>
      </c>
      <c r="G183" s="5">
        <v>369.36</v>
      </c>
      <c r="H183" s="5">
        <v>730.64</v>
      </c>
      <c r="I183" s="5">
        <v>0</v>
      </c>
      <c r="J183" s="5">
        <v>369.36</v>
      </c>
      <c r="K183" s="6">
        <v>0.66400000000000003</v>
      </c>
    </row>
    <row r="184" spans="2:11" x14ac:dyDescent="0.2">
      <c r="B184" s="4" t="s">
        <v>126</v>
      </c>
      <c r="C184" s="4" t="s">
        <v>255</v>
      </c>
      <c r="D184" s="4" t="s">
        <v>128</v>
      </c>
      <c r="E184" s="5">
        <v>400</v>
      </c>
      <c r="F184" s="5">
        <v>343.75</v>
      </c>
      <c r="G184" s="5">
        <v>56.25</v>
      </c>
      <c r="H184" s="5">
        <v>343.75</v>
      </c>
      <c r="I184" s="5">
        <v>0</v>
      </c>
      <c r="J184" s="5">
        <v>56.25</v>
      </c>
      <c r="K184" s="6">
        <v>0.85899999999999999</v>
      </c>
    </row>
    <row r="185" spans="2:11" ht="12.6" customHeight="1" x14ac:dyDescent="0.2">
      <c r="B185" s="22" t="s">
        <v>256</v>
      </c>
      <c r="E185" s="23">
        <v>0</v>
      </c>
      <c r="F185" s="23">
        <v>0</v>
      </c>
      <c r="G185" s="23">
        <v>0</v>
      </c>
      <c r="H185" s="23">
        <v>0</v>
      </c>
      <c r="I185" s="23">
        <v>0</v>
      </c>
      <c r="J185" s="23">
        <v>0</v>
      </c>
      <c r="K185" s="24">
        <v>0</v>
      </c>
    </row>
    <row r="186" spans="2:11" ht="12.6" customHeight="1" x14ac:dyDescent="0.2">
      <c r="B186" s="7" t="s">
        <v>56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9">
        <v>0</v>
      </c>
    </row>
    <row r="187" spans="2:11" x14ac:dyDescent="0.2">
      <c r="B187" s="4" t="s">
        <v>130</v>
      </c>
      <c r="C187" s="4" t="s">
        <v>257</v>
      </c>
      <c r="D187" s="4" t="s">
        <v>132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6">
        <v>0</v>
      </c>
    </row>
    <row r="188" spans="2:11" ht="12.6" customHeight="1" x14ac:dyDescent="0.2">
      <c r="B188" s="22" t="s">
        <v>258</v>
      </c>
      <c r="E188" s="23">
        <v>185500</v>
      </c>
      <c r="F188" s="23">
        <v>97034.17</v>
      </c>
      <c r="G188" s="23">
        <v>88465.83</v>
      </c>
      <c r="H188" s="23">
        <v>97034.17</v>
      </c>
      <c r="I188" s="23">
        <v>0</v>
      </c>
      <c r="J188" s="23">
        <v>88465.83</v>
      </c>
      <c r="K188" s="24">
        <v>0.52300000000000002</v>
      </c>
    </row>
    <row r="189" spans="2:11" ht="12.6" customHeight="1" x14ac:dyDescent="0.2">
      <c r="B189" s="7" t="s">
        <v>56</v>
      </c>
      <c r="E189" s="8">
        <v>185500</v>
      </c>
      <c r="F189" s="8">
        <v>97034.17</v>
      </c>
      <c r="G189" s="8">
        <v>88465.83</v>
      </c>
      <c r="H189" s="8">
        <v>97034.17</v>
      </c>
      <c r="I189" s="8">
        <v>0</v>
      </c>
      <c r="J189" s="8">
        <v>88465.83</v>
      </c>
      <c r="K189" s="9">
        <v>0.52300000000000002</v>
      </c>
    </row>
    <row r="190" spans="2:11" ht="22.5" x14ac:dyDescent="0.2">
      <c r="B190" s="4" t="s">
        <v>97</v>
      </c>
      <c r="C190" s="4" t="s">
        <v>259</v>
      </c>
      <c r="D190" s="4" t="s">
        <v>99</v>
      </c>
      <c r="E190" s="5">
        <v>0</v>
      </c>
      <c r="F190" s="5">
        <v>60935.17</v>
      </c>
      <c r="G190" s="5">
        <v>-60935.17</v>
      </c>
      <c r="H190" s="5">
        <v>60935.17</v>
      </c>
      <c r="I190" s="5">
        <v>0</v>
      </c>
      <c r="J190" s="5">
        <v>-60935.17</v>
      </c>
      <c r="K190" s="6">
        <v>0</v>
      </c>
    </row>
    <row r="191" spans="2:11" ht="12.6" customHeight="1" x14ac:dyDescent="0.2">
      <c r="B191" s="4" t="s">
        <v>260</v>
      </c>
      <c r="C191" s="4" t="s">
        <v>261</v>
      </c>
      <c r="D191" s="4" t="s">
        <v>262</v>
      </c>
      <c r="E191" s="5">
        <v>185500</v>
      </c>
      <c r="F191" s="5">
        <v>36099</v>
      </c>
      <c r="G191" s="5">
        <v>149401</v>
      </c>
      <c r="H191" s="5">
        <v>36099</v>
      </c>
      <c r="I191" s="5">
        <v>0</v>
      </c>
      <c r="J191" s="5">
        <v>149401</v>
      </c>
      <c r="K191" s="6">
        <v>0.19500000000000001</v>
      </c>
    </row>
    <row r="192" spans="2:11" ht="12.6" customHeight="1" x14ac:dyDescent="0.2">
      <c r="B192" s="22" t="s">
        <v>263</v>
      </c>
      <c r="E192" s="23">
        <v>2825300</v>
      </c>
      <c r="F192" s="23">
        <v>1702830.04</v>
      </c>
      <c r="G192" s="23">
        <v>1122469.96</v>
      </c>
      <c r="H192" s="23">
        <v>1702830.04</v>
      </c>
      <c r="I192" s="23">
        <v>0</v>
      </c>
      <c r="J192" s="23">
        <v>1122469.96</v>
      </c>
      <c r="K192" s="24">
        <v>0.60299999999999998</v>
      </c>
    </row>
    <row r="193" spans="2:12" ht="12.6" customHeight="1" x14ac:dyDescent="0.2">
      <c r="B193" s="7" t="s">
        <v>56</v>
      </c>
      <c r="E193" s="8">
        <v>2117200</v>
      </c>
      <c r="F193" s="8">
        <v>1248873.02</v>
      </c>
      <c r="G193" s="8">
        <v>868326.98</v>
      </c>
      <c r="H193" s="8">
        <v>1248873.02</v>
      </c>
      <c r="I193" s="8">
        <v>0</v>
      </c>
      <c r="J193" s="8">
        <v>868326.98</v>
      </c>
      <c r="K193" s="9">
        <v>0.59</v>
      </c>
      <c r="L193" s="57"/>
    </row>
    <row r="194" spans="2:12" x14ac:dyDescent="0.2">
      <c r="B194" s="4" t="s">
        <v>75</v>
      </c>
      <c r="C194" s="4" t="s">
        <v>264</v>
      </c>
      <c r="D194" s="4" t="s">
        <v>77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6">
        <v>0</v>
      </c>
    </row>
    <row r="195" spans="2:12" ht="12.6" customHeight="1" x14ac:dyDescent="0.2">
      <c r="B195" s="4" t="s">
        <v>38</v>
      </c>
      <c r="C195" s="4" t="s">
        <v>265</v>
      </c>
      <c r="D195" s="4" t="s">
        <v>40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6">
        <v>0</v>
      </c>
    </row>
    <row r="196" spans="2:12" ht="12.6" customHeight="1" x14ac:dyDescent="0.2">
      <c r="B196" s="4" t="s">
        <v>27</v>
      </c>
      <c r="C196" s="4" t="s">
        <v>266</v>
      </c>
      <c r="D196" s="4" t="s">
        <v>29</v>
      </c>
      <c r="E196" s="5">
        <v>92800</v>
      </c>
      <c r="F196" s="5">
        <v>47867.78</v>
      </c>
      <c r="G196" s="5">
        <v>44932.22</v>
      </c>
      <c r="H196" s="5">
        <v>47867.78</v>
      </c>
      <c r="I196" s="5">
        <v>0</v>
      </c>
      <c r="J196" s="5">
        <v>44932.22</v>
      </c>
      <c r="K196" s="6">
        <v>0.51600000000000001</v>
      </c>
    </row>
    <row r="197" spans="2:12" ht="12.6" customHeight="1" x14ac:dyDescent="0.2">
      <c r="B197" s="4" t="s">
        <v>30</v>
      </c>
      <c r="C197" s="4" t="s">
        <v>267</v>
      </c>
      <c r="D197" s="4" t="s">
        <v>32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6">
        <v>0</v>
      </c>
    </row>
    <row r="198" spans="2:12" ht="12.6" customHeight="1" x14ac:dyDescent="0.2">
      <c r="B198" s="4" t="s">
        <v>14</v>
      </c>
      <c r="C198" s="4" t="s">
        <v>268</v>
      </c>
      <c r="D198" s="4" t="s">
        <v>16</v>
      </c>
      <c r="E198" s="5">
        <v>168000</v>
      </c>
      <c r="F198" s="5">
        <v>0</v>
      </c>
      <c r="G198" s="5">
        <v>168000</v>
      </c>
      <c r="H198" s="5">
        <v>0</v>
      </c>
      <c r="I198" s="5">
        <v>0</v>
      </c>
      <c r="J198" s="5">
        <v>168000</v>
      </c>
      <c r="K198" s="6">
        <v>0</v>
      </c>
    </row>
    <row r="199" spans="2:12" x14ac:dyDescent="0.2">
      <c r="B199" s="4" t="s">
        <v>17</v>
      </c>
      <c r="C199" s="4" t="s">
        <v>269</v>
      </c>
      <c r="D199" s="4" t="s">
        <v>19</v>
      </c>
      <c r="E199" s="5">
        <v>1426000</v>
      </c>
      <c r="F199" s="5">
        <v>1191612.28</v>
      </c>
      <c r="G199" s="5">
        <v>234387.72</v>
      </c>
      <c r="H199" s="5">
        <v>1191612.28</v>
      </c>
      <c r="I199" s="5">
        <v>0</v>
      </c>
      <c r="J199" s="5">
        <v>234387.72</v>
      </c>
      <c r="K199" s="6">
        <v>0.83599999999999997</v>
      </c>
    </row>
    <row r="200" spans="2:12" ht="12.6" customHeight="1" x14ac:dyDescent="0.2">
      <c r="B200" s="4" t="s">
        <v>23</v>
      </c>
      <c r="C200" s="4" t="s">
        <v>270</v>
      </c>
      <c r="D200" s="4" t="s">
        <v>25</v>
      </c>
      <c r="E200" s="5">
        <v>430400</v>
      </c>
      <c r="F200" s="5">
        <v>9392.9599999999991</v>
      </c>
      <c r="G200" s="5">
        <v>421007.04</v>
      </c>
      <c r="H200" s="5">
        <v>9392.9599999999991</v>
      </c>
      <c r="I200" s="5">
        <v>0</v>
      </c>
      <c r="J200" s="5">
        <v>421007.04</v>
      </c>
      <c r="K200" s="6">
        <v>2.1999999999999999E-2</v>
      </c>
    </row>
    <row r="201" spans="2:12" ht="12.6" customHeight="1" x14ac:dyDescent="0.2">
      <c r="B201" s="7" t="s">
        <v>129</v>
      </c>
      <c r="E201" s="8">
        <v>57500</v>
      </c>
      <c r="F201" s="8">
        <v>59778.66</v>
      </c>
      <c r="G201" s="8">
        <v>-2278.66</v>
      </c>
      <c r="H201" s="8">
        <v>59778.66</v>
      </c>
      <c r="I201" s="8">
        <v>0</v>
      </c>
      <c r="J201" s="8">
        <v>-2278.66</v>
      </c>
      <c r="K201" s="9">
        <v>1.04</v>
      </c>
    </row>
    <row r="202" spans="2:12" ht="12.6" customHeight="1" x14ac:dyDescent="0.2">
      <c r="B202" s="4" t="s">
        <v>27</v>
      </c>
      <c r="C202" s="4" t="s">
        <v>271</v>
      </c>
      <c r="D202" s="4" t="s">
        <v>29</v>
      </c>
      <c r="E202" s="5">
        <v>36500</v>
      </c>
      <c r="F202" s="5">
        <v>57707.68</v>
      </c>
      <c r="G202" s="5">
        <v>-21207.68</v>
      </c>
      <c r="H202" s="5">
        <v>57707.68</v>
      </c>
      <c r="I202" s="5">
        <v>0</v>
      </c>
      <c r="J202" s="5">
        <v>-21207.68</v>
      </c>
      <c r="K202" s="6">
        <v>1.581</v>
      </c>
    </row>
    <row r="203" spans="2:12" ht="12.6" customHeight="1" x14ac:dyDescent="0.2">
      <c r="B203" s="4" t="s">
        <v>272</v>
      </c>
      <c r="C203" s="4" t="s">
        <v>273</v>
      </c>
      <c r="D203" s="4" t="s">
        <v>274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6">
        <v>0</v>
      </c>
    </row>
    <row r="204" spans="2:12" ht="12.6" customHeight="1" x14ac:dyDescent="0.2">
      <c r="B204" s="4" t="s">
        <v>30</v>
      </c>
      <c r="C204" s="4" t="s">
        <v>275</v>
      </c>
      <c r="D204" s="4" t="s">
        <v>32</v>
      </c>
      <c r="E204" s="5">
        <v>15000</v>
      </c>
      <c r="F204" s="5">
        <v>425</v>
      </c>
      <c r="G204" s="5">
        <v>14575</v>
      </c>
      <c r="H204" s="5">
        <v>425</v>
      </c>
      <c r="I204" s="5">
        <v>0</v>
      </c>
      <c r="J204" s="5">
        <v>14575</v>
      </c>
      <c r="K204" s="6">
        <v>2.8000000000000001E-2</v>
      </c>
    </row>
    <row r="205" spans="2:12" ht="12.6" customHeight="1" x14ac:dyDescent="0.2">
      <c r="B205" s="4" t="s">
        <v>276</v>
      </c>
      <c r="C205" s="4" t="s">
        <v>277</v>
      </c>
      <c r="D205" s="4" t="s">
        <v>278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6">
        <v>0</v>
      </c>
    </row>
    <row r="206" spans="2:12" ht="409.6" hidden="1" customHeight="1" x14ac:dyDescent="0.2"/>
    <row r="207" spans="2:12" ht="12.6" customHeight="1" x14ac:dyDescent="0.2">
      <c r="B207" s="4" t="s">
        <v>14</v>
      </c>
      <c r="C207" s="4" t="s">
        <v>15</v>
      </c>
      <c r="D207" s="4" t="s">
        <v>16</v>
      </c>
      <c r="E207" s="5">
        <v>1500</v>
      </c>
      <c r="F207" s="5">
        <v>1500</v>
      </c>
      <c r="G207" s="5">
        <v>0</v>
      </c>
      <c r="H207" s="5">
        <v>1500</v>
      </c>
      <c r="I207" s="5">
        <v>0</v>
      </c>
      <c r="J207" s="5">
        <v>0</v>
      </c>
      <c r="K207" s="6">
        <v>1</v>
      </c>
    </row>
    <row r="208" spans="2:12" x14ac:dyDescent="0.2">
      <c r="B208" s="4" t="s">
        <v>17</v>
      </c>
      <c r="C208" s="4" t="s">
        <v>18</v>
      </c>
      <c r="D208" s="4" t="s">
        <v>19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6">
        <v>0</v>
      </c>
    </row>
    <row r="209" spans="2:11" ht="12.6" customHeight="1" x14ac:dyDescent="0.2">
      <c r="B209" s="4" t="s">
        <v>20</v>
      </c>
      <c r="C209" s="4" t="s">
        <v>21</v>
      </c>
      <c r="D209" s="4" t="s">
        <v>22</v>
      </c>
      <c r="E209" s="5">
        <v>4500</v>
      </c>
      <c r="F209" s="5">
        <v>145.97999999999999</v>
      </c>
      <c r="G209" s="5">
        <v>4354.0200000000004</v>
      </c>
      <c r="H209" s="5">
        <v>145.97999999999999</v>
      </c>
      <c r="I209" s="5">
        <v>0</v>
      </c>
      <c r="J209" s="5">
        <v>4354.0200000000004</v>
      </c>
      <c r="K209" s="6">
        <v>3.2000000000000001E-2</v>
      </c>
    </row>
    <row r="210" spans="2:11" ht="12.6" customHeight="1" x14ac:dyDescent="0.2">
      <c r="B210" s="4" t="s">
        <v>23</v>
      </c>
      <c r="C210" s="4" t="s">
        <v>24</v>
      </c>
      <c r="D210" s="4" t="s">
        <v>25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6">
        <v>0</v>
      </c>
    </row>
    <row r="211" spans="2:11" ht="12.6" customHeight="1" x14ac:dyDescent="0.2">
      <c r="B211" s="7" t="s">
        <v>26</v>
      </c>
      <c r="E211" s="8">
        <v>548500</v>
      </c>
      <c r="F211" s="8">
        <v>391956.57</v>
      </c>
      <c r="G211" s="8">
        <v>156543.43</v>
      </c>
      <c r="H211" s="8">
        <v>391956.57</v>
      </c>
      <c r="I211" s="8">
        <v>0</v>
      </c>
      <c r="J211" s="8">
        <v>156543.43</v>
      </c>
      <c r="K211" s="9">
        <v>0.71499999999999997</v>
      </c>
    </row>
    <row r="212" spans="2:11" ht="12.6" customHeight="1" x14ac:dyDescent="0.2">
      <c r="B212" s="4" t="s">
        <v>27</v>
      </c>
      <c r="C212" s="4" t="s">
        <v>28</v>
      </c>
      <c r="D212" s="4" t="s">
        <v>29</v>
      </c>
      <c r="E212" s="5">
        <v>0</v>
      </c>
      <c r="F212" s="5">
        <v>510.93</v>
      </c>
      <c r="G212" s="5">
        <v>-510.93</v>
      </c>
      <c r="H212" s="5">
        <v>510.93</v>
      </c>
      <c r="I212" s="5">
        <v>0</v>
      </c>
      <c r="J212" s="5">
        <v>-510.93</v>
      </c>
      <c r="K212" s="6">
        <v>0</v>
      </c>
    </row>
    <row r="213" spans="2:11" ht="12.6" customHeight="1" x14ac:dyDescent="0.2">
      <c r="B213" s="4" t="s">
        <v>30</v>
      </c>
      <c r="C213" s="4" t="s">
        <v>31</v>
      </c>
      <c r="D213" s="4" t="s">
        <v>32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6">
        <v>0</v>
      </c>
    </row>
    <row r="214" spans="2:11" x14ac:dyDescent="0.2">
      <c r="B214" s="4" t="s">
        <v>17</v>
      </c>
      <c r="C214" s="4" t="s">
        <v>33</v>
      </c>
      <c r="D214" s="4" t="s">
        <v>19</v>
      </c>
      <c r="E214" s="5">
        <v>548500</v>
      </c>
      <c r="F214" s="5">
        <v>391445.64</v>
      </c>
      <c r="G214" s="5">
        <v>157054.35999999999</v>
      </c>
      <c r="H214" s="5">
        <v>391445.64</v>
      </c>
      <c r="I214" s="5">
        <v>0</v>
      </c>
      <c r="J214" s="5">
        <v>157054.35999999999</v>
      </c>
      <c r="K214" s="6">
        <v>0.71399999999999997</v>
      </c>
    </row>
    <row r="215" spans="2:11" ht="12.6" customHeight="1" x14ac:dyDescent="0.2">
      <c r="B215" s="7" t="s">
        <v>34</v>
      </c>
      <c r="E215" s="8">
        <v>800</v>
      </c>
      <c r="F215" s="8">
        <v>2221.79</v>
      </c>
      <c r="G215" s="8">
        <v>-1421.79</v>
      </c>
      <c r="H215" s="8">
        <v>2221.79</v>
      </c>
      <c r="I215" s="8">
        <v>0</v>
      </c>
      <c r="J215" s="8">
        <v>-1421.79</v>
      </c>
      <c r="K215" s="9">
        <v>2.7770000000000001</v>
      </c>
    </row>
    <row r="216" spans="2:11" ht="12.6" customHeight="1" x14ac:dyDescent="0.2">
      <c r="B216" s="4" t="s">
        <v>27</v>
      </c>
      <c r="C216" s="4" t="s">
        <v>35</v>
      </c>
      <c r="D216" s="4" t="s">
        <v>29</v>
      </c>
      <c r="E216" s="5">
        <v>800</v>
      </c>
      <c r="F216" s="5">
        <v>2221.79</v>
      </c>
      <c r="G216" s="5">
        <v>-1421.79</v>
      </c>
      <c r="H216" s="5">
        <v>2221.79</v>
      </c>
      <c r="I216" s="5">
        <v>0</v>
      </c>
      <c r="J216" s="5">
        <v>-1421.79</v>
      </c>
      <c r="K216" s="6">
        <v>2.7770000000000001</v>
      </c>
    </row>
    <row r="217" spans="2:11" x14ac:dyDescent="0.2">
      <c r="B217" s="4" t="s">
        <v>17</v>
      </c>
      <c r="C217" s="4" t="s">
        <v>36</v>
      </c>
      <c r="D217" s="4" t="s">
        <v>19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6">
        <v>0</v>
      </c>
    </row>
    <row r="218" spans="2:11" ht="12.6" customHeight="1" x14ac:dyDescent="0.2">
      <c r="B218" s="7" t="s">
        <v>37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9">
        <v>0</v>
      </c>
    </row>
    <row r="219" spans="2:11" ht="12.6" customHeight="1" x14ac:dyDescent="0.2">
      <c r="B219" s="4" t="s">
        <v>38</v>
      </c>
      <c r="C219" s="4" t="s">
        <v>39</v>
      </c>
      <c r="D219" s="4" t="s">
        <v>40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6">
        <v>0</v>
      </c>
    </row>
    <row r="220" spans="2:11" ht="12.6" customHeight="1" x14ac:dyDescent="0.2">
      <c r="B220" s="4" t="s">
        <v>41</v>
      </c>
      <c r="C220" s="4" t="s">
        <v>42</v>
      </c>
      <c r="D220" s="4" t="s">
        <v>43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6">
        <v>0</v>
      </c>
    </row>
    <row r="221" spans="2:11" ht="12.6" customHeight="1" x14ac:dyDescent="0.2">
      <c r="B221" s="4" t="s">
        <v>23</v>
      </c>
      <c r="C221" s="4" t="s">
        <v>44</v>
      </c>
      <c r="D221" s="4" t="s">
        <v>25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6">
        <v>0</v>
      </c>
    </row>
    <row r="222" spans="2:11" ht="12.6" customHeight="1" x14ac:dyDescent="0.2">
      <c r="B222" s="7" t="s">
        <v>45</v>
      </c>
      <c r="E222" s="8">
        <v>100000</v>
      </c>
      <c r="F222" s="8">
        <v>0</v>
      </c>
      <c r="G222" s="8">
        <v>100000</v>
      </c>
      <c r="H222" s="8">
        <v>0</v>
      </c>
      <c r="I222" s="8">
        <v>0</v>
      </c>
      <c r="J222" s="8">
        <v>100000</v>
      </c>
      <c r="K222" s="9">
        <v>0</v>
      </c>
    </row>
    <row r="223" spans="2:11" ht="12.6" customHeight="1" x14ac:dyDescent="0.2">
      <c r="B223" s="4" t="s">
        <v>27</v>
      </c>
      <c r="C223" s="4" t="s">
        <v>46</v>
      </c>
      <c r="D223" s="4" t="s">
        <v>29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6">
        <v>0</v>
      </c>
    </row>
    <row r="224" spans="2:11" x14ac:dyDescent="0.2">
      <c r="B224" s="4" t="s">
        <v>17</v>
      </c>
      <c r="C224" s="4" t="s">
        <v>47</v>
      </c>
      <c r="D224" s="4" t="s">
        <v>19</v>
      </c>
      <c r="E224" s="5">
        <v>100000</v>
      </c>
      <c r="F224" s="5">
        <v>0</v>
      </c>
      <c r="G224" s="5">
        <v>100000</v>
      </c>
      <c r="H224" s="5">
        <v>0</v>
      </c>
      <c r="I224" s="5">
        <v>0</v>
      </c>
      <c r="J224" s="5">
        <v>100000</v>
      </c>
      <c r="K224" s="6">
        <v>0</v>
      </c>
    </row>
    <row r="225" spans="2:11" ht="12.6" customHeight="1" x14ac:dyDescent="0.2">
      <c r="B225" s="7" t="s">
        <v>48</v>
      </c>
      <c r="E225" s="8">
        <v>1300</v>
      </c>
      <c r="F225" s="8">
        <v>0</v>
      </c>
      <c r="G225" s="8">
        <v>1300</v>
      </c>
      <c r="H225" s="8">
        <v>0</v>
      </c>
      <c r="I225" s="8">
        <v>0</v>
      </c>
      <c r="J225" s="8">
        <v>1300</v>
      </c>
      <c r="K225" s="9">
        <v>0</v>
      </c>
    </row>
    <row r="226" spans="2:11" ht="12.6" customHeight="1" x14ac:dyDescent="0.2">
      <c r="B226" s="4" t="s">
        <v>27</v>
      </c>
      <c r="C226" s="4" t="s">
        <v>49</v>
      </c>
      <c r="D226" s="4" t="s">
        <v>29</v>
      </c>
      <c r="E226" s="5">
        <v>1300</v>
      </c>
      <c r="F226" s="5">
        <v>0</v>
      </c>
      <c r="G226" s="5">
        <v>1300</v>
      </c>
      <c r="H226" s="5">
        <v>0</v>
      </c>
      <c r="I226" s="5">
        <v>0</v>
      </c>
      <c r="J226" s="5">
        <v>1300</v>
      </c>
      <c r="K226" s="6">
        <v>0</v>
      </c>
    </row>
  </sheetData>
  <phoneticPr fontId="0" type="noConversion"/>
  <pageMargins left="0" right="0" top="0" bottom="0.39375000000000004" header="0" footer="0"/>
  <pageSetup paperSize="9" orientation="landscape" horizontalDpi="0" verticalDpi="0"/>
  <headerFooter alignWithMargins="0">
    <oddFooter xml:space="preserve">&amp;L&amp;"Arial"&amp;8 Lista: LCW147TREW &amp;C&amp;"Arial"&amp;8 Stranica 
&amp;B&amp;P&amp;B &amp;R&amp;"Arial"&amp;8 * OBRADA LC *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zoomScale="90" zoomScaleNormal="90" workbookViewId="0">
      <pane ySplit="4" topLeftCell="A5" activePane="bottomLeft" state="frozen"/>
      <selection activeCell="D20" sqref="D20"/>
      <selection pane="bottomLeft" activeCell="D20" sqref="D20"/>
    </sheetView>
  </sheetViews>
  <sheetFormatPr defaultColWidth="8.7109375" defaultRowHeight="12.75" outlineLevelCol="1" x14ac:dyDescent="0.2"/>
  <cols>
    <col min="1" max="1" width="10.5703125" style="25" customWidth="1"/>
    <col min="2" max="2" width="45.7109375" style="25" customWidth="1"/>
    <col min="3" max="3" width="13.5703125" style="25" hidden="1" customWidth="1" outlineLevel="1"/>
    <col min="4" max="4" width="13.5703125" style="25" customWidth="1" collapsed="1"/>
    <col min="5" max="5" width="13.5703125" style="25" hidden="1" customWidth="1" outlineLevel="1"/>
    <col min="6" max="7" width="13.5703125" style="25" customWidth="1" collapsed="1"/>
    <col min="8" max="8" width="8.7109375" style="25" customWidth="1"/>
    <col min="9" max="16384" width="8.7109375" style="25"/>
  </cols>
  <sheetData>
    <row r="1" spans="1:7" ht="20.100000000000001" customHeight="1" x14ac:dyDescent="0.2">
      <c r="A1" s="217"/>
      <c r="B1" s="217"/>
      <c r="C1" s="217"/>
    </row>
    <row r="2" spans="1:7" ht="39.950000000000003" customHeight="1" x14ac:dyDescent="0.2">
      <c r="A2" s="223" t="s">
        <v>593</v>
      </c>
      <c r="B2" s="223"/>
      <c r="C2" s="223"/>
      <c r="D2" s="223"/>
      <c r="E2" s="223"/>
      <c r="F2" s="223"/>
      <c r="G2" s="223"/>
    </row>
    <row r="3" spans="1:7" ht="20.100000000000001" customHeight="1" thickBot="1" x14ac:dyDescent="0.25">
      <c r="D3" s="83"/>
      <c r="F3" s="83"/>
      <c r="G3" s="83"/>
    </row>
    <row r="4" spans="1:7" ht="35.1" customHeight="1" thickBot="1" x14ac:dyDescent="0.25">
      <c r="A4" s="80" t="s">
        <v>345</v>
      </c>
      <c r="B4" s="80" t="s">
        <v>489</v>
      </c>
      <c r="C4" s="80" t="s">
        <v>572</v>
      </c>
      <c r="D4" s="233" t="s">
        <v>594</v>
      </c>
      <c r="E4" s="233"/>
      <c r="F4" s="233"/>
      <c r="G4" s="233"/>
    </row>
    <row r="5" spans="1:7" ht="18" customHeight="1" thickBot="1" x14ac:dyDescent="0.25">
      <c r="A5" s="81">
        <v>1</v>
      </c>
      <c r="B5" s="81">
        <v>2</v>
      </c>
      <c r="C5" s="81">
        <v>4</v>
      </c>
      <c r="D5" s="81">
        <v>3</v>
      </c>
      <c r="E5" s="81"/>
      <c r="F5" s="81">
        <v>4</v>
      </c>
      <c r="G5" s="81">
        <v>5</v>
      </c>
    </row>
    <row r="6" spans="1:7" ht="35.1" customHeight="1" collapsed="1" thickBot="1" x14ac:dyDescent="0.25">
      <c r="A6" s="82"/>
      <c r="B6" s="82"/>
      <c r="C6" s="234" t="s">
        <v>515</v>
      </c>
      <c r="D6" s="234"/>
      <c r="E6" s="232" t="s">
        <v>516</v>
      </c>
      <c r="F6" s="232"/>
      <c r="G6" s="131" t="s">
        <v>517</v>
      </c>
    </row>
    <row r="7" spans="1:7" ht="35.1" customHeight="1" collapsed="1" thickBot="1" x14ac:dyDescent="0.25">
      <c r="A7" s="225" t="s">
        <v>514</v>
      </c>
      <c r="B7" s="225"/>
      <c r="C7" s="82">
        <f>C8+C9+C10+C12+C13+C14+C15+C16+C17</f>
        <v>25489600</v>
      </c>
      <c r="D7" s="82">
        <f>D8+D9+D10+D12+D13+D14+D15+D16+D17</f>
        <v>12779679.130000001</v>
      </c>
      <c r="E7" s="132">
        <f>E8+E9+E10+E12+E13+E14+E15+E16+E17</f>
        <v>25489600</v>
      </c>
      <c r="F7" s="132">
        <f>F8+F9+F10+F12+F13+F14+F15+F16+F17+F11</f>
        <v>12443169.619999995</v>
      </c>
      <c r="G7" s="132">
        <f>D7-F7</f>
        <v>336509.51000000536</v>
      </c>
    </row>
    <row r="8" spans="1:7" ht="24.95" customHeight="1" thickBot="1" x14ac:dyDescent="0.25">
      <c r="A8" s="96" t="s">
        <v>455</v>
      </c>
      <c r="B8" s="97" t="s">
        <v>488</v>
      </c>
      <c r="C8" s="98">
        <f>SUMIFS(Posebni_Dio!K$6:K$267,Posebni_Dio!$B$6:$B$267,"PRI",Posebni_Dio!$D$6:$D$267,"112")</f>
        <v>22475700</v>
      </c>
      <c r="D8" s="98">
        <f>SUMIFS(Posebni_Dio!L$6:L$267,Posebni_Dio!$B$6:$B$267,"PRI",Posebni_Dio!$D$6:$D$267,"112")</f>
        <v>11030828.15</v>
      </c>
      <c r="E8" s="98">
        <f>SUMIFS(Posebni_Dio!K$6:K$267,Posebni_Dio!$B$6:$B$267,"RAS",Posebni_Dio!$D$6:$D$267,"112")</f>
        <v>22475700</v>
      </c>
      <c r="F8" s="98">
        <f>SUMIFS(Posebni_Dio!L$6:L$267,Posebni_Dio!$B$6:$B$267,"RAS",Posebni_Dio!$D$6:$D$267,"112")</f>
        <v>11402102.559999997</v>
      </c>
      <c r="G8" s="98">
        <f t="shared" ref="G8:G17" si="0">D8-F8</f>
        <v>-371274.40999999642</v>
      </c>
    </row>
    <row r="9" spans="1:7" ht="24.95" customHeight="1" thickBot="1" x14ac:dyDescent="0.25">
      <c r="A9" s="96" t="s">
        <v>490</v>
      </c>
      <c r="B9" s="97" t="s">
        <v>426</v>
      </c>
      <c r="C9" s="98">
        <f>SUMIFS(Posebni_Dio!K$6:K$267,Posebni_Dio!$B$6:$B$267,"PRI",Posebni_Dio!$D$6:$D$267,"311")</f>
        <v>18300</v>
      </c>
      <c r="D9" s="98">
        <f>SUMIFS(Posebni_Dio!L$6:L$267,Posebni_Dio!$B$6:$B$267,"PRI",Posebni_Dio!$D$6:$D$267,"311")</f>
        <v>18009.169999999998</v>
      </c>
      <c r="E9" s="98">
        <f>SUMIFS(Posebni_Dio!K$6:K$267,Posebni_Dio!$B$6:$B$267,"RAS",Posebni_Dio!$D$6:$D$267,"311")</f>
        <v>18300</v>
      </c>
      <c r="F9" s="98">
        <f>SUMIFS(Posebni_Dio!L$6:L$267,Posebni_Dio!$B$6:$B$267,"RAS",Posebni_Dio!$D$6:$D$267,"311")</f>
        <v>1492</v>
      </c>
      <c r="G9" s="98">
        <f t="shared" si="0"/>
        <v>16517.169999999998</v>
      </c>
    </row>
    <row r="10" spans="1:7" ht="24.95" customHeight="1" thickBot="1" x14ac:dyDescent="0.25">
      <c r="A10" s="96" t="s">
        <v>491</v>
      </c>
      <c r="B10" s="97" t="s">
        <v>434</v>
      </c>
      <c r="C10" s="98">
        <f>SUMIFS(Posebni_Dio!K$6:K$267,Posebni_Dio!$B$6:$B$267,"PRI",Posebni_Dio!$D$6:$D$267,"431")</f>
        <v>1073000</v>
      </c>
      <c r="D10" s="98">
        <f>SUMIFS(Posebni_Dio!L$6:L$267,Posebni_Dio!$B$6:$B$267,"PRI",Posebni_Dio!$D$6:$D$267,"431")</f>
        <v>542177.55000000005</v>
      </c>
      <c r="E10" s="98">
        <f>SUMIFS(Posebni_Dio!K$6:K$267,Posebni_Dio!$B$6:$B$267,"RAS",Posebni_Dio!$D$6:$D$267,"431")</f>
        <v>1073000</v>
      </c>
      <c r="F10" s="98">
        <f>SUMIFS(Posebni_Dio!L$6:L$267,Posebni_Dio!$B$6:$B$267,"RAS",Posebni_Dio!$D$6:$D$267,"431")</f>
        <v>395476.19000000006</v>
      </c>
      <c r="G10" s="98">
        <f t="shared" si="0"/>
        <v>146701.35999999999</v>
      </c>
    </row>
    <row r="11" spans="1:7" ht="24.95" customHeight="1" thickBot="1" x14ac:dyDescent="0.25">
      <c r="A11" s="96" t="s">
        <v>588</v>
      </c>
      <c r="B11" s="97" t="s">
        <v>589</v>
      </c>
      <c r="C11" s="98">
        <f>SUMIFS(Posebni_Dio!K$6:K$267,Posebni_Dio!$B$6:$B$267,"PRI",Posebni_Dio!$D$6:$D$267,"510")</f>
        <v>54000</v>
      </c>
      <c r="D11" s="98">
        <f>SUMIFS(Posebni_Dio!L$6:L$267,Posebni_Dio!$B$6:$B$267,"PRI",Posebni_Dio!$D$6:$D$267,"510")</f>
        <v>0</v>
      </c>
      <c r="E11" s="98">
        <f>SUMIFS(Posebni_Dio!K$6:K$267,Posebni_Dio!$B$6:$B$267,"RAS",Posebni_Dio!$D$6:$D$267,"510")</f>
        <v>54000</v>
      </c>
      <c r="F11" s="98">
        <f>SUMIFS(Posebni_Dio!L$6:L$267,Posebni_Dio!$B$6:$B$267,"RAS",Posebni_Dio!$D$6:$D$267,"510")</f>
        <v>300</v>
      </c>
      <c r="G11" s="98">
        <f t="shared" ref="G11" si="1">D11-F11</f>
        <v>-300</v>
      </c>
    </row>
    <row r="12" spans="1:7" ht="24.95" customHeight="1" thickBot="1" x14ac:dyDescent="0.25">
      <c r="A12" s="96" t="s">
        <v>492</v>
      </c>
      <c r="B12" s="97" t="s">
        <v>440</v>
      </c>
      <c r="C12" s="98">
        <f>SUMIFS(Posebni_Dio!K$6:K$267,Posebni_Dio!$B$6:$B$267,"PRI",Posebni_Dio!$D$6:$D$267,"521")</f>
        <v>1821300</v>
      </c>
      <c r="D12" s="98">
        <f>SUMIFS(Posebni_Dio!L$6:L$267,Posebni_Dio!$B$6:$B$267,"PRI",Posebni_Dio!$D$6:$D$267,"521")</f>
        <v>1152728.26</v>
      </c>
      <c r="E12" s="98">
        <f>SUMIFS(Posebni_Dio!K$6:K$267,Posebni_Dio!$B$6:$B$267,"RAS",Posebni_Dio!$D$6:$D$267,"521")</f>
        <v>1821300</v>
      </c>
      <c r="F12" s="98">
        <f>SUMIFS(Posebni_Dio!L$6:L$267,Posebni_Dio!$B$6:$B$267,"RAS",Posebni_Dio!$D$6:$D$267,"521")</f>
        <v>635533.97</v>
      </c>
      <c r="G12" s="98">
        <f t="shared" si="0"/>
        <v>517194.29000000004</v>
      </c>
    </row>
    <row r="13" spans="1:7" ht="24.95" customHeight="1" thickBot="1" x14ac:dyDescent="0.25">
      <c r="A13" s="96" t="s">
        <v>493</v>
      </c>
      <c r="B13" s="97" t="s">
        <v>444</v>
      </c>
      <c r="C13" s="98">
        <f>SUMIFS(Posebni_Dio!K$6:K$267,Posebni_Dio!$B$6:$B$267,"PRI",Posebni_Dio!$D$6:$D$267,"541")</f>
        <v>0</v>
      </c>
      <c r="D13" s="98">
        <f>SUMIFS(Posebni_Dio!L$6:L$267,Posebni_Dio!$B$6:$B$267,"PRI",Posebni_Dio!$D$6:$D$267,"541")</f>
        <v>1000</v>
      </c>
      <c r="E13" s="98">
        <f>SUMIFS(Posebni_Dio!K$6:K$267,Posebni_Dio!$B$6:$B$267,"RAS",Posebni_Dio!$D$6:$D$267,"541")</f>
        <v>0</v>
      </c>
      <c r="F13" s="98">
        <f>SUMIFS(Posebni_Dio!L$6:L$267,Posebni_Dio!$B$6:$B$267,"RAS",Posebni_Dio!$D$6:$D$267,"541")</f>
        <v>709.69</v>
      </c>
      <c r="G13" s="98">
        <f t="shared" si="0"/>
        <v>290.30999999999995</v>
      </c>
    </row>
    <row r="14" spans="1:7" ht="24.95" customHeight="1" thickBot="1" x14ac:dyDescent="0.25">
      <c r="A14" s="96" t="s">
        <v>494</v>
      </c>
      <c r="B14" s="97" t="s">
        <v>446</v>
      </c>
      <c r="C14" s="98">
        <f>SUMIFS(Posebni_Dio!K$6:K$267,Posebni_Dio!$B$6:$B$267,"PRI",Posebni_Dio!$D$6:$D$267,"561")</f>
        <v>0</v>
      </c>
      <c r="D14" s="98">
        <f>SUMIFS(Posebni_Dio!L$6:L$267,Posebni_Dio!$B$6:$B$267,"PRI",Posebni_Dio!$D$6:$D$267,"561")</f>
        <v>34936</v>
      </c>
      <c r="E14" s="98">
        <f>SUMIFS(Posebni_Dio!K$6:K$267,Posebni_Dio!$B$6:$B$267,"RAS",Posebni_Dio!$D$6:$D$267,"561")</f>
        <v>0</v>
      </c>
      <c r="F14" s="98">
        <f>SUMIFS(Posebni_Dio!L$6:L$267,Posebni_Dio!$B$6:$B$267,"RAS",Posebni_Dio!$D$6:$D$267,"561")</f>
        <v>5198.3499999999995</v>
      </c>
      <c r="G14" s="98">
        <f t="shared" si="0"/>
        <v>29737.65</v>
      </c>
    </row>
    <row r="15" spans="1:7" ht="24.95" customHeight="1" thickBot="1" x14ac:dyDescent="0.25">
      <c r="A15" s="96" t="s">
        <v>590</v>
      </c>
      <c r="B15" s="97" t="s">
        <v>591</v>
      </c>
      <c r="C15" s="98">
        <f>SUMIFS(Posebni_Dio!K$6:K$267,Posebni_Dio!$B$6:$B$267,"PRI",Posebni_Dio!$D$6:$D$267,"571")</f>
        <v>0</v>
      </c>
      <c r="D15" s="98">
        <f>SUMIFS(Posebni_Dio!L$6:L$267,Posebni_Dio!$B$6:$B$267,"PRI",Posebni_Dio!$D$6:$D$267,"571")</f>
        <v>0</v>
      </c>
      <c r="E15" s="98">
        <f>SUMIFS(Posebni_Dio!K$6:K$267,Posebni_Dio!$B$6:$B$267,"RAS",Posebni_Dio!$D$6:$D$267,"571")</f>
        <v>0</v>
      </c>
      <c r="F15" s="98">
        <f>SUMIFS(Posebni_Dio!L$6:L$267,Posebni_Dio!$B$6:$B$267,"RAS",Posebni_Dio!$D$6:$D$267,"562")</f>
        <v>2356.86</v>
      </c>
      <c r="G15" s="98">
        <f t="shared" si="0"/>
        <v>-2356.86</v>
      </c>
    </row>
    <row r="16" spans="1:7" ht="24.95" customHeight="1" thickBot="1" x14ac:dyDescent="0.25">
      <c r="A16" s="96" t="s">
        <v>495</v>
      </c>
      <c r="B16" s="97" t="s">
        <v>450</v>
      </c>
      <c r="C16" s="98">
        <f>SUMIFS(Posebni_Dio!K$6:K$267,Posebni_Dio!$B$6:$B$267,"PRI",Posebni_Dio!$D$6:$D$267,"611")</f>
        <v>100000</v>
      </c>
      <c r="D16" s="98">
        <f>SUMIFS(Posebni_Dio!L$6:L$267,Posebni_Dio!$B$6:$B$267,"PRI",Posebni_Dio!$D$6:$D$267,"611")</f>
        <v>0</v>
      </c>
      <c r="E16" s="98">
        <f>SUMIFS(Posebni_Dio!K$6:K$267,Posebni_Dio!$B$6:$B$267,"RAS",Posebni_Dio!$D$6:$D$267,"611")</f>
        <v>100000</v>
      </c>
      <c r="F16" s="98">
        <f>SUMIFS(Posebni_Dio!L$6:L$267,Posebni_Dio!$B$6:$B$267,"RAS",Posebni_Dio!$D$6:$D$267,"611")</f>
        <v>0</v>
      </c>
      <c r="G16" s="98">
        <f t="shared" si="0"/>
        <v>0</v>
      </c>
    </row>
    <row r="17" spans="1:7" ht="24.95" customHeight="1" thickBot="1" x14ac:dyDescent="0.25">
      <c r="A17" s="96" t="s">
        <v>496</v>
      </c>
      <c r="B17" s="97" t="s">
        <v>452</v>
      </c>
      <c r="C17" s="98">
        <f>SUMIFS(Posebni_Dio!K$6:K$267,Posebni_Dio!$B$6:$B$267,"PRI",Posebni_Dio!$D$6:$D$267,"711")</f>
        <v>1300</v>
      </c>
      <c r="D17" s="98">
        <f>SUMIFS(Posebni_Dio!L$6:L$267,Posebni_Dio!$B$6:$B$267,"PRI",Posebni_Dio!$D$6:$D$267,"711")</f>
        <v>0</v>
      </c>
      <c r="E17" s="98">
        <f>SUMIFS(Posebni_Dio!K$6:K$267,Posebni_Dio!$B$6:$B$267,"RAS",Posebni_Dio!$D$6:$D$267,"711")</f>
        <v>1300</v>
      </c>
      <c r="F17" s="98">
        <f>SUMIFS(Posebni_Dio!L$6:L$267,Posebni_Dio!$B$6:$B$267,"RAS",Posebni_Dio!$D$6:$D$267,"711")</f>
        <v>0</v>
      </c>
      <c r="G17" s="98">
        <f t="shared" si="0"/>
        <v>0</v>
      </c>
    </row>
    <row r="18" spans="1:7" ht="35.1" customHeight="1" thickBot="1" x14ac:dyDescent="0.25">
      <c r="A18" s="130"/>
      <c r="B18" s="130"/>
      <c r="C18" s="130"/>
      <c r="D18" s="130"/>
      <c r="E18" s="130"/>
      <c r="F18" s="130"/>
      <c r="G18" s="130"/>
    </row>
  </sheetData>
  <mergeCells count="6">
    <mergeCell ref="E6:F6"/>
    <mergeCell ref="D4:G4"/>
    <mergeCell ref="A1:C1"/>
    <mergeCell ref="A7:B7"/>
    <mergeCell ref="C6:D6"/>
    <mergeCell ref="A2:G2"/>
  </mergeCells>
  <pageMargins left="0.39370078740157483" right="0.39370078740157483" top="0.59055118110236227" bottom="0.59055118110236227" header="0" footer="0"/>
  <pageSetup paperSize="9" scale="82" orientation="portrait" r:id="rId1"/>
  <headerFooter alignWithMargins="0">
    <oddHeader>&amp;L&amp;"Arial,Bold"&amp;K04-023KNJIŽNICE GRADA ZAGREBA
STARČEVIĆEV TRG 6
OIB: 93571946376</oddHeader>
    <oddFooter xml:space="preserve">&amp;L&amp;"Arial"&amp;8 Lista: LCW147TREW &amp;C&amp;"Arial"&amp;8 Stranica 
&amp;B&amp;P&amp;B &amp;R&amp;"Arial"&amp;8 * OBRADA LC *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7"/>
  <sheetViews>
    <sheetView showGridLines="0" zoomScaleNormal="100" workbookViewId="0">
      <pane ySplit="4" topLeftCell="A206" activePane="bottomLeft" state="frozen"/>
      <selection activeCell="F1" sqref="F1"/>
      <selection pane="bottomLeft" activeCell="H19" sqref="H19:I19"/>
    </sheetView>
  </sheetViews>
  <sheetFormatPr defaultColWidth="8.7109375" defaultRowHeight="12.75" outlineLevelRow="1" outlineLevelCol="1" x14ac:dyDescent="0.2"/>
  <cols>
    <col min="1" max="1" width="20.7109375" style="25" hidden="1" customWidth="1" outlineLevel="1"/>
    <col min="2" max="2" width="8.7109375" style="25" hidden="1" customWidth="1" outlineLevel="1"/>
    <col min="3" max="3" width="9.28515625" style="26" hidden="1" customWidth="1" outlineLevel="1"/>
    <col min="4" max="4" width="3.7109375" style="30" hidden="1" customWidth="1" outlineLevel="1"/>
    <col min="5" max="5" width="8.7109375" style="30" hidden="1" customWidth="1" outlineLevel="1"/>
    <col min="6" max="6" width="10.28515625" style="30" hidden="1" customWidth="1" outlineLevel="1"/>
    <col min="7" max="7" width="12.5703125" style="26" hidden="1" customWidth="1" outlineLevel="1"/>
    <col min="8" max="8" width="10.5703125" style="25" customWidth="1" collapsed="1"/>
    <col min="9" max="9" width="45.7109375" style="25" customWidth="1"/>
    <col min="10" max="12" width="13.5703125" style="25" customWidth="1"/>
    <col min="13" max="14" width="10.5703125" style="90" customWidth="1"/>
    <col min="15" max="18" width="13.7109375" style="25" hidden="1" customWidth="1" outlineLevel="1"/>
    <col min="19" max="19" width="13.7109375" style="25" customWidth="1" collapsed="1"/>
    <col min="20" max="20" width="15.7109375" style="25" hidden="1" customWidth="1"/>
    <col min="21" max="21" width="8.7109375" style="25" customWidth="1"/>
    <col min="22" max="22" width="9.85546875" style="25" bestFit="1" customWidth="1"/>
    <col min="23" max="26" width="8.7109375" style="25" customWidth="1"/>
    <col min="27" max="16384" width="8.7109375" style="25"/>
  </cols>
  <sheetData>
    <row r="1" spans="2:20" ht="20.100000000000001" customHeight="1" x14ac:dyDescent="0.2">
      <c r="H1" s="217"/>
      <c r="I1" s="217"/>
      <c r="J1" s="217"/>
      <c r="K1" s="217"/>
    </row>
    <row r="2" spans="2:20" ht="20.100000000000001" customHeight="1" x14ac:dyDescent="0.2">
      <c r="H2" s="223" t="s">
        <v>575</v>
      </c>
      <c r="I2" s="223"/>
      <c r="J2" s="223"/>
      <c r="K2" s="223"/>
      <c r="L2" s="223"/>
      <c r="M2" s="223"/>
      <c r="N2" s="223"/>
    </row>
    <row r="3" spans="2:20" ht="20.100000000000001" customHeight="1" thickBot="1" x14ac:dyDescent="0.25">
      <c r="L3" s="83"/>
      <c r="M3" s="91"/>
      <c r="N3" s="91"/>
    </row>
    <row r="4" spans="2:20" ht="35.1" customHeight="1" thickBot="1" x14ac:dyDescent="0.25">
      <c r="H4" s="215" t="s">
        <v>3</v>
      </c>
      <c r="I4" s="215" t="s">
        <v>5</v>
      </c>
      <c r="J4" s="215" t="s">
        <v>571</v>
      </c>
      <c r="K4" s="215" t="s">
        <v>572</v>
      </c>
      <c r="L4" s="215" t="s">
        <v>580</v>
      </c>
      <c r="M4" s="92" t="s">
        <v>573</v>
      </c>
      <c r="N4" s="92" t="s">
        <v>574</v>
      </c>
    </row>
    <row r="5" spans="2:20" ht="18" customHeight="1" thickBot="1" x14ac:dyDescent="0.25">
      <c r="H5" s="81">
        <v>1</v>
      </c>
      <c r="I5" s="81">
        <v>2</v>
      </c>
      <c r="J5" s="81">
        <v>3</v>
      </c>
      <c r="K5" s="81">
        <v>4</v>
      </c>
      <c r="L5" s="81">
        <v>5</v>
      </c>
      <c r="M5" s="81">
        <v>6</v>
      </c>
      <c r="N5" s="81">
        <v>7</v>
      </c>
    </row>
    <row r="6" spans="2:20" ht="35.1" customHeight="1" collapsed="1" thickBot="1" x14ac:dyDescent="0.25">
      <c r="H6" s="225" t="s">
        <v>468</v>
      </c>
      <c r="I6" s="225"/>
      <c r="J6" s="82">
        <f>J7+J10+J16+J24+J19+J27+J31+J37+J39+J34</f>
        <v>11509928.459999999</v>
      </c>
      <c r="K6" s="82">
        <f>K7+K10+K16+K24+K19+K27+K31+K37+K39</f>
        <v>25543600</v>
      </c>
      <c r="L6" s="82">
        <f>L7+L10+L16+L24+L19+L27+L31+L37+L39+L34</f>
        <v>12779679.130000001</v>
      </c>
      <c r="M6" s="82">
        <f>IF(J6&lt;&gt;0,L6/J6*100,0)</f>
        <v>111.03178594387199</v>
      </c>
      <c r="N6" s="82">
        <f>IF(K6&lt;&gt;0,L6/K6*100,0)</f>
        <v>50.030845808734867</v>
      </c>
    </row>
    <row r="7" spans="2:20" ht="24.95" customHeight="1" x14ac:dyDescent="0.2">
      <c r="H7" s="230" t="s">
        <v>56</v>
      </c>
      <c r="I7" s="230"/>
      <c r="J7" s="79">
        <f>SUM(J8:J9)</f>
        <v>9882152.6099999994</v>
      </c>
      <c r="K7" s="79">
        <f>SUM(K8:K9)</f>
        <v>22475700</v>
      </c>
      <c r="L7" s="79">
        <f>SUM(L8:L9)</f>
        <v>11030828.15</v>
      </c>
      <c r="M7" s="79">
        <f t="shared" ref="M7:M77" si="0">IF(J7&lt;&gt;0,L7/J7*100,0)</f>
        <v>111.62373811994794</v>
      </c>
      <c r="N7" s="79">
        <f t="shared" ref="N7:N77" si="1">IF(K7&lt;&gt;0,L7/K7*100,0)</f>
        <v>49.078908109647315</v>
      </c>
    </row>
    <row r="8" spans="2:20" ht="30" hidden="1" customHeight="1" outlineLevel="1" x14ac:dyDescent="0.2">
      <c r="B8" s="30" t="s">
        <v>469</v>
      </c>
      <c r="D8" s="30">
        <v>112</v>
      </c>
      <c r="E8" s="30" t="str">
        <f t="shared" ref="E8:E9" si="2">LEFT(H8,1)</f>
        <v>6</v>
      </c>
      <c r="F8" s="30" t="str">
        <f t="shared" ref="F8:F9" si="3">LEFT(H8,2)</f>
        <v>67</v>
      </c>
      <c r="G8" s="26" t="str">
        <f t="shared" ref="G8:G9" si="4">LEFT(H8,3)</f>
        <v>671</v>
      </c>
      <c r="H8" s="86" t="s">
        <v>464</v>
      </c>
      <c r="I8" s="86" t="s">
        <v>466</v>
      </c>
      <c r="J8" s="87">
        <v>9232156.6099999994</v>
      </c>
      <c r="K8" s="87">
        <v>20267900</v>
      </c>
      <c r="L8" s="87">
        <v>10065397.220000001</v>
      </c>
      <c r="M8" s="87">
        <f t="shared" si="0"/>
        <v>109.02541676012581</v>
      </c>
      <c r="N8" s="87">
        <f t="shared" si="1"/>
        <v>49.661766734590167</v>
      </c>
      <c r="O8" s="31"/>
      <c r="T8" s="25" t="str">
        <f>CONCATENATE(C8,D8,H8)</f>
        <v>1126711</v>
      </c>
    </row>
    <row r="9" spans="2:20" ht="30" hidden="1" customHeight="1" outlineLevel="1" x14ac:dyDescent="0.2">
      <c r="B9" s="30" t="s">
        <v>469</v>
      </c>
      <c r="D9" s="30">
        <v>112</v>
      </c>
      <c r="E9" s="30" t="str">
        <f t="shared" si="2"/>
        <v>6</v>
      </c>
      <c r="F9" s="30" t="str">
        <f t="shared" si="3"/>
        <v>67</v>
      </c>
      <c r="G9" s="26" t="str">
        <f t="shared" si="4"/>
        <v>671</v>
      </c>
      <c r="H9" s="86" t="s">
        <v>465</v>
      </c>
      <c r="I9" s="86" t="s">
        <v>467</v>
      </c>
      <c r="J9" s="87">
        <v>649996</v>
      </c>
      <c r="K9" s="87">
        <v>2207800</v>
      </c>
      <c r="L9" s="87">
        <v>965430.93</v>
      </c>
      <c r="M9" s="87">
        <f t="shared" si="0"/>
        <v>148.52874940768868</v>
      </c>
      <c r="N9" s="87">
        <f t="shared" si="1"/>
        <v>43.728187788748983</v>
      </c>
      <c r="O9" s="31"/>
      <c r="T9" s="25" t="str">
        <f t="shared" ref="T9:T73" si="5">CONCATENATE(C9,D9,H9)</f>
        <v>1126712</v>
      </c>
    </row>
    <row r="10" spans="2:20" ht="24.95" customHeight="1" collapsed="1" x14ac:dyDescent="0.2">
      <c r="B10" s="30"/>
      <c r="H10" s="230" t="s">
        <v>125</v>
      </c>
      <c r="I10" s="230"/>
      <c r="J10" s="79">
        <f>SUM(J11:J15)</f>
        <v>14166.58</v>
      </c>
      <c r="K10" s="79">
        <f>SUM(K11:K15)</f>
        <v>18300</v>
      </c>
      <c r="L10" s="79">
        <f>SUM(L11:L15)</f>
        <v>18009.169999999998</v>
      </c>
      <c r="M10" s="79">
        <f t="shared" si="0"/>
        <v>127.12433064296391</v>
      </c>
      <c r="N10" s="79">
        <f t="shared" si="1"/>
        <v>98.410765027322398</v>
      </c>
    </row>
    <row r="11" spans="2:20" ht="20.100000000000001" hidden="1" customHeight="1" outlineLevel="1" x14ac:dyDescent="0.2">
      <c r="B11" s="30" t="s">
        <v>469</v>
      </c>
      <c r="D11" s="30">
        <v>311</v>
      </c>
      <c r="E11" s="30" t="str">
        <f t="shared" ref="E11:E15" si="6">LEFT(H11,1)</f>
        <v>6</v>
      </c>
      <c r="F11" s="30" t="str">
        <f t="shared" ref="F11:F15" si="7">LEFT(H11,2)</f>
        <v>64</v>
      </c>
      <c r="G11" s="26" t="str">
        <f t="shared" ref="G11:G15" si="8">LEFT(H11,3)</f>
        <v>641</v>
      </c>
      <c r="H11" s="86" t="s">
        <v>280</v>
      </c>
      <c r="I11" s="86" t="s">
        <v>282</v>
      </c>
      <c r="J11" s="87"/>
      <c r="K11" s="87">
        <v>100</v>
      </c>
      <c r="L11" s="87"/>
      <c r="M11" s="87">
        <f t="shared" si="0"/>
        <v>0</v>
      </c>
      <c r="N11" s="87">
        <f t="shared" si="1"/>
        <v>0</v>
      </c>
      <c r="O11" s="31"/>
      <c r="T11" s="25" t="str">
        <f t="shared" si="5"/>
        <v>3116413</v>
      </c>
    </row>
    <row r="12" spans="2:20" ht="30" hidden="1" customHeight="1" outlineLevel="1" x14ac:dyDescent="0.2">
      <c r="B12" s="30" t="s">
        <v>469</v>
      </c>
      <c r="D12" s="30">
        <v>311</v>
      </c>
      <c r="E12" s="30" t="str">
        <f t="shared" si="6"/>
        <v>6</v>
      </c>
      <c r="F12" s="30" t="str">
        <f t="shared" si="7"/>
        <v>64</v>
      </c>
      <c r="G12" s="26" t="str">
        <f t="shared" si="8"/>
        <v>641</v>
      </c>
      <c r="H12" s="86" t="s">
        <v>283</v>
      </c>
      <c r="I12" s="86" t="s">
        <v>285</v>
      </c>
      <c r="J12" s="87"/>
      <c r="K12" s="87">
        <v>100</v>
      </c>
      <c r="L12" s="87"/>
      <c r="M12" s="87">
        <f t="shared" si="0"/>
        <v>0</v>
      </c>
      <c r="N12" s="87">
        <f t="shared" si="1"/>
        <v>0</v>
      </c>
      <c r="O12" s="31"/>
      <c r="T12" s="25" t="str">
        <f t="shared" si="5"/>
        <v>3116415</v>
      </c>
    </row>
    <row r="13" spans="2:20" ht="20.100000000000001" hidden="1" customHeight="1" outlineLevel="1" x14ac:dyDescent="0.2">
      <c r="B13" s="30" t="s">
        <v>469</v>
      </c>
      <c r="D13" s="30">
        <v>311</v>
      </c>
      <c r="E13" s="30" t="str">
        <f t="shared" si="6"/>
        <v>6</v>
      </c>
      <c r="F13" s="30" t="str">
        <f t="shared" si="7"/>
        <v>64</v>
      </c>
      <c r="G13" s="26" t="str">
        <f t="shared" si="8"/>
        <v>641</v>
      </c>
      <c r="H13" s="86" t="s">
        <v>286</v>
      </c>
      <c r="I13" s="86" t="s">
        <v>288</v>
      </c>
      <c r="J13" s="87">
        <f>9576</f>
        <v>9576</v>
      </c>
      <c r="K13" s="87">
        <v>9600</v>
      </c>
      <c r="L13" s="87">
        <v>8686.7999999999993</v>
      </c>
      <c r="M13" s="87">
        <f t="shared" si="0"/>
        <v>90.714285714285708</v>
      </c>
      <c r="N13" s="87">
        <f t="shared" si="1"/>
        <v>90.487499999999983</v>
      </c>
      <c r="O13" s="31"/>
      <c r="T13" s="25" t="str">
        <f t="shared" si="5"/>
        <v>3116416</v>
      </c>
    </row>
    <row r="14" spans="2:20" ht="20.100000000000001" hidden="1" customHeight="1" outlineLevel="1" x14ac:dyDescent="0.2">
      <c r="B14" s="30" t="s">
        <v>469</v>
      </c>
      <c r="D14" s="30">
        <v>311</v>
      </c>
      <c r="E14" s="30" t="str">
        <f t="shared" si="6"/>
        <v>6</v>
      </c>
      <c r="F14" s="30" t="str">
        <f t="shared" si="7"/>
        <v>66</v>
      </c>
      <c r="G14" s="26" t="str">
        <f t="shared" si="8"/>
        <v>661</v>
      </c>
      <c r="H14" s="86" t="s">
        <v>289</v>
      </c>
      <c r="I14" s="86" t="s">
        <v>291</v>
      </c>
      <c r="J14" s="87">
        <f>4304.74</f>
        <v>4304.74</v>
      </c>
      <c r="K14" s="87">
        <v>8500</v>
      </c>
      <c r="L14" s="87">
        <v>5322.99</v>
      </c>
      <c r="M14" s="87">
        <f t="shared" si="0"/>
        <v>123.65415797469765</v>
      </c>
      <c r="N14" s="87">
        <f t="shared" si="1"/>
        <v>62.623411764705885</v>
      </c>
      <c r="O14" s="31"/>
      <c r="T14" s="25" t="str">
        <f t="shared" si="5"/>
        <v>3116615</v>
      </c>
    </row>
    <row r="15" spans="2:20" ht="20.100000000000001" hidden="1" customHeight="1" outlineLevel="1" x14ac:dyDescent="0.2">
      <c r="B15" s="30" t="s">
        <v>469</v>
      </c>
      <c r="D15" s="30">
        <v>311</v>
      </c>
      <c r="E15" s="30" t="str">
        <f t="shared" si="6"/>
        <v>6</v>
      </c>
      <c r="F15" s="30" t="str">
        <f t="shared" si="7"/>
        <v>68</v>
      </c>
      <c r="G15" s="26" t="str">
        <f t="shared" si="8"/>
        <v>683</v>
      </c>
      <c r="H15" s="86" t="s">
        <v>292</v>
      </c>
      <c r="I15" s="86" t="s">
        <v>294</v>
      </c>
      <c r="J15" s="87">
        <f>285.84</f>
        <v>285.83999999999997</v>
      </c>
      <c r="K15" s="87"/>
      <c r="L15" s="87">
        <v>3999.38</v>
      </c>
      <c r="M15" s="87">
        <f t="shared" si="0"/>
        <v>1399.1673663588022</v>
      </c>
      <c r="N15" s="87">
        <f t="shared" si="1"/>
        <v>0</v>
      </c>
      <c r="O15" s="31"/>
      <c r="T15" s="25" t="str">
        <f t="shared" si="5"/>
        <v>3116831</v>
      </c>
    </row>
    <row r="16" spans="2:20" ht="24.95" customHeight="1" collapsed="1" x14ac:dyDescent="0.2">
      <c r="B16" s="30"/>
      <c r="H16" s="230" t="s">
        <v>129</v>
      </c>
      <c r="I16" s="230"/>
      <c r="J16" s="79">
        <f>SUM(J17:J18)</f>
        <v>516201.58</v>
      </c>
      <c r="K16" s="79">
        <f>SUM(K17:K18)</f>
        <v>1073000</v>
      </c>
      <c r="L16" s="79">
        <f>SUM(L17:L18)</f>
        <v>542177.55000000005</v>
      </c>
      <c r="M16" s="79">
        <f t="shared" si="0"/>
        <v>105.03213686405222</v>
      </c>
      <c r="N16" s="79">
        <f t="shared" si="1"/>
        <v>50.529128611369998</v>
      </c>
    </row>
    <row r="17" spans="2:20" ht="20.100000000000001" hidden="1" customHeight="1" outlineLevel="1" x14ac:dyDescent="0.2">
      <c r="B17" s="30" t="s">
        <v>469</v>
      </c>
      <c r="D17" s="30">
        <v>431</v>
      </c>
      <c r="E17" s="30" t="str">
        <f t="shared" ref="E17:E18" si="9">LEFT(H17,1)</f>
        <v>6</v>
      </c>
      <c r="F17" s="30" t="str">
        <f t="shared" ref="F17:F18" si="10">LEFT(H17,2)</f>
        <v>65</v>
      </c>
      <c r="G17" s="26" t="str">
        <f t="shared" ref="G17:G18" si="11">LEFT(H17,3)</f>
        <v>652</v>
      </c>
      <c r="H17" s="86" t="s">
        <v>295</v>
      </c>
      <c r="I17" s="86" t="s">
        <v>297</v>
      </c>
      <c r="J17" s="87">
        <f>473619.56+418.75+42163.27</f>
        <v>516201.58</v>
      </c>
      <c r="K17" s="87">
        <v>1073000</v>
      </c>
      <c r="L17" s="87">
        <v>542177.55000000005</v>
      </c>
      <c r="M17" s="87">
        <f t="shared" si="0"/>
        <v>105.03213686405222</v>
      </c>
      <c r="N17" s="87">
        <f t="shared" si="1"/>
        <v>50.529128611369998</v>
      </c>
      <c r="O17" s="31"/>
      <c r="T17" s="25" t="str">
        <f t="shared" si="5"/>
        <v>4316526</v>
      </c>
    </row>
    <row r="18" spans="2:20" ht="20.100000000000001" hidden="1" customHeight="1" outlineLevel="1" x14ac:dyDescent="0.2">
      <c r="B18" s="30" t="s">
        <v>469</v>
      </c>
      <c r="D18" s="30">
        <v>431</v>
      </c>
      <c r="E18" s="30" t="str">
        <f t="shared" si="9"/>
        <v>9</v>
      </c>
      <c r="F18" s="30" t="str">
        <f t="shared" si="10"/>
        <v>92</v>
      </c>
      <c r="G18" s="26" t="str">
        <f t="shared" si="11"/>
        <v>922</v>
      </c>
      <c r="H18" s="86" t="s">
        <v>298</v>
      </c>
      <c r="I18" s="86" t="s">
        <v>300</v>
      </c>
      <c r="J18" s="87"/>
      <c r="K18" s="87"/>
      <c r="L18" s="87"/>
      <c r="M18" s="87">
        <f t="shared" si="0"/>
        <v>0</v>
      </c>
      <c r="N18" s="87">
        <f t="shared" si="1"/>
        <v>0</v>
      </c>
      <c r="O18" s="31"/>
      <c r="T18" s="25" t="str">
        <f t="shared" si="5"/>
        <v>4319221</v>
      </c>
    </row>
    <row r="19" spans="2:20" ht="24.95" customHeight="1" collapsed="1" x14ac:dyDescent="0.2">
      <c r="B19" s="30"/>
      <c r="H19" s="230" t="s">
        <v>581</v>
      </c>
      <c r="I19" s="230"/>
      <c r="J19" s="79">
        <f>SUM(J20:J23)</f>
        <v>0</v>
      </c>
      <c r="K19" s="79">
        <f>SUM(K20:K23)</f>
        <v>54000</v>
      </c>
      <c r="L19" s="79">
        <f>SUM(L20:L23)</f>
        <v>0</v>
      </c>
      <c r="M19" s="79">
        <f t="shared" si="0"/>
        <v>0</v>
      </c>
      <c r="N19" s="79">
        <f t="shared" si="1"/>
        <v>0</v>
      </c>
    </row>
    <row r="20" spans="2:20" ht="20.100000000000001" hidden="1" customHeight="1" outlineLevel="1" x14ac:dyDescent="0.2">
      <c r="B20" s="30" t="s">
        <v>469</v>
      </c>
      <c r="D20" s="30">
        <v>510</v>
      </c>
      <c r="E20" s="30" t="str">
        <f t="shared" ref="E20:E23" si="12">LEFT(H20,1)</f>
        <v>6</v>
      </c>
      <c r="F20" s="30" t="str">
        <f t="shared" ref="F20:F23" si="13">LEFT(H20,2)</f>
        <v>63</v>
      </c>
      <c r="G20" s="26" t="str">
        <f t="shared" ref="G20:G23" si="14">LEFT(H20,3)</f>
        <v>631</v>
      </c>
      <c r="H20" s="212" t="s">
        <v>582</v>
      </c>
      <c r="I20" s="86" t="s">
        <v>583</v>
      </c>
      <c r="J20" s="87"/>
      <c r="K20" s="87"/>
      <c r="L20" s="87"/>
      <c r="M20" s="87">
        <f t="shared" si="0"/>
        <v>0</v>
      </c>
      <c r="N20" s="87">
        <f t="shared" si="1"/>
        <v>0</v>
      </c>
      <c r="O20" s="31"/>
      <c r="T20" s="25" t="str">
        <f t="shared" si="5"/>
        <v>5106311</v>
      </c>
    </row>
    <row r="21" spans="2:20" ht="20.100000000000001" hidden="1" customHeight="1" outlineLevel="1" x14ac:dyDescent="0.2">
      <c r="B21" s="30" t="s">
        <v>469</v>
      </c>
      <c r="D21" s="30">
        <v>510</v>
      </c>
      <c r="E21" s="30" t="str">
        <f t="shared" si="12"/>
        <v>6</v>
      </c>
      <c r="F21" s="30" t="str">
        <f t="shared" si="13"/>
        <v>63</v>
      </c>
      <c r="G21" s="26" t="str">
        <f t="shared" si="14"/>
        <v>632</v>
      </c>
      <c r="H21" s="212" t="s">
        <v>584</v>
      </c>
      <c r="I21" s="86" t="s">
        <v>585</v>
      </c>
      <c r="J21" s="87"/>
      <c r="K21" s="87">
        <v>54000</v>
      </c>
      <c r="L21" s="87"/>
      <c r="M21" s="87">
        <f t="shared" si="0"/>
        <v>0</v>
      </c>
      <c r="N21" s="87">
        <f t="shared" si="1"/>
        <v>0</v>
      </c>
      <c r="O21" s="31"/>
      <c r="T21" s="25" t="str">
        <f t="shared" si="5"/>
        <v>5106323</v>
      </c>
    </row>
    <row r="22" spans="2:20" ht="20.100000000000001" hidden="1" customHeight="1" outlineLevel="1" x14ac:dyDescent="0.2">
      <c r="B22" s="30" t="s">
        <v>469</v>
      </c>
      <c r="D22" s="30">
        <v>510</v>
      </c>
      <c r="E22" s="30" t="str">
        <f t="shared" si="12"/>
        <v>6</v>
      </c>
      <c r="F22" s="30" t="str">
        <f t="shared" si="13"/>
        <v>63</v>
      </c>
      <c r="G22" s="26" t="str">
        <f t="shared" si="14"/>
        <v>638</v>
      </c>
      <c r="H22" s="212" t="s">
        <v>314</v>
      </c>
      <c r="I22" s="86" t="s">
        <v>316</v>
      </c>
      <c r="J22" s="87"/>
      <c r="K22" s="87"/>
      <c r="L22" s="87"/>
      <c r="M22" s="87">
        <f t="shared" si="0"/>
        <v>0</v>
      </c>
      <c r="N22" s="87">
        <f t="shared" si="1"/>
        <v>0</v>
      </c>
      <c r="O22" s="31"/>
      <c r="T22" s="25" t="str">
        <f t="shared" si="5"/>
        <v>5106381</v>
      </c>
    </row>
    <row r="23" spans="2:20" ht="20.100000000000001" hidden="1" customHeight="1" outlineLevel="1" x14ac:dyDescent="0.2">
      <c r="B23" s="30" t="s">
        <v>469</v>
      </c>
      <c r="D23" s="30">
        <v>510</v>
      </c>
      <c r="E23" s="30" t="str">
        <f t="shared" si="12"/>
        <v>9</v>
      </c>
      <c r="F23" s="30" t="str">
        <f t="shared" si="13"/>
        <v>92</v>
      </c>
      <c r="G23" s="26" t="str">
        <f t="shared" si="14"/>
        <v>922</v>
      </c>
      <c r="H23" s="86" t="s">
        <v>298</v>
      </c>
      <c r="I23" s="86" t="s">
        <v>300</v>
      </c>
      <c r="J23" s="87"/>
      <c r="K23" s="87"/>
      <c r="L23" s="87"/>
      <c r="M23" s="87">
        <f t="shared" si="0"/>
        <v>0</v>
      </c>
      <c r="N23" s="87">
        <f t="shared" si="1"/>
        <v>0</v>
      </c>
      <c r="O23" s="31"/>
      <c r="T23" s="25" t="str">
        <f t="shared" si="5"/>
        <v>5109221</v>
      </c>
    </row>
    <row r="24" spans="2:20" ht="24.95" customHeight="1" collapsed="1" x14ac:dyDescent="0.2">
      <c r="B24" s="30"/>
      <c r="H24" s="230" t="s">
        <v>26</v>
      </c>
      <c r="I24" s="230"/>
      <c r="J24" s="79">
        <f t="shared" ref="J24:L24" si="15">SUM(J25:J26)</f>
        <v>1096914.25</v>
      </c>
      <c r="K24" s="79">
        <f t="shared" si="15"/>
        <v>1821300</v>
      </c>
      <c r="L24" s="79">
        <f t="shared" si="15"/>
        <v>1152728.26</v>
      </c>
      <c r="M24" s="79">
        <f t="shared" si="0"/>
        <v>105.0882746759831</v>
      </c>
      <c r="N24" s="79">
        <f t="shared" si="1"/>
        <v>63.291509361445122</v>
      </c>
    </row>
    <row r="25" spans="2:20" ht="30" hidden="1" customHeight="1" outlineLevel="1" x14ac:dyDescent="0.2">
      <c r="B25" s="30" t="s">
        <v>469</v>
      </c>
      <c r="D25" s="30">
        <v>521</v>
      </c>
      <c r="E25" s="30" t="str">
        <f t="shared" ref="E25:E26" si="16">LEFT(H25,1)</f>
        <v>6</v>
      </c>
      <c r="F25" s="30" t="str">
        <f t="shared" ref="F25:F26" si="17">LEFT(H25,2)</f>
        <v>63</v>
      </c>
      <c r="G25" s="26" t="str">
        <f t="shared" ref="G25:G26" si="18">LEFT(H25,3)</f>
        <v>636</v>
      </c>
      <c r="H25" s="86" t="s">
        <v>301</v>
      </c>
      <c r="I25" s="86" t="s">
        <v>303</v>
      </c>
      <c r="J25" s="87">
        <f>142435.82+28163</f>
        <v>170598.82</v>
      </c>
      <c r="K25" s="87">
        <v>939300</v>
      </c>
      <c r="L25" s="87">
        <v>540549.5</v>
      </c>
      <c r="M25" s="87">
        <f t="shared" si="0"/>
        <v>316.85418457173381</v>
      </c>
      <c r="N25" s="87">
        <f t="shared" si="1"/>
        <v>57.548120941126371</v>
      </c>
      <c r="O25" s="31"/>
      <c r="T25" s="25" t="str">
        <f t="shared" si="5"/>
        <v>5216361</v>
      </c>
    </row>
    <row r="26" spans="2:20" ht="30" hidden="1" customHeight="1" outlineLevel="1" x14ac:dyDescent="0.2">
      <c r="B26" s="30" t="s">
        <v>469</v>
      </c>
      <c r="D26" s="30">
        <v>521</v>
      </c>
      <c r="E26" s="30" t="str">
        <f t="shared" si="16"/>
        <v>6</v>
      </c>
      <c r="F26" s="30" t="str">
        <f t="shared" si="17"/>
        <v>63</v>
      </c>
      <c r="G26" s="26" t="str">
        <f t="shared" si="18"/>
        <v>636</v>
      </c>
      <c r="H26" s="86" t="s">
        <v>304</v>
      </c>
      <c r="I26" s="86" t="s">
        <v>306</v>
      </c>
      <c r="J26" s="87">
        <f>273600+304000+328239.66+16915.77+3560</f>
        <v>926315.42999999993</v>
      </c>
      <c r="K26" s="87">
        <v>882000</v>
      </c>
      <c r="L26" s="87">
        <v>612178.76</v>
      </c>
      <c r="M26" s="87">
        <f t="shared" si="0"/>
        <v>66.087505419185348</v>
      </c>
      <c r="N26" s="87">
        <f t="shared" si="1"/>
        <v>69.408022675736959</v>
      </c>
      <c r="O26" s="31"/>
      <c r="T26" s="25" t="str">
        <f t="shared" si="5"/>
        <v>5216362</v>
      </c>
    </row>
    <row r="27" spans="2:20" ht="24.95" customHeight="1" collapsed="1" x14ac:dyDescent="0.2">
      <c r="B27" s="30"/>
      <c r="H27" s="230" t="s">
        <v>34</v>
      </c>
      <c r="I27" s="230"/>
      <c r="J27" s="79">
        <f>SUM(J28:J30)</f>
        <v>0</v>
      </c>
      <c r="K27" s="79">
        <f>SUM(K28:K30)</f>
        <v>0</v>
      </c>
      <c r="L27" s="79">
        <f>SUM(L28:L30)</f>
        <v>0</v>
      </c>
      <c r="M27" s="79">
        <f t="shared" si="0"/>
        <v>0</v>
      </c>
      <c r="N27" s="79">
        <f t="shared" si="1"/>
        <v>0</v>
      </c>
    </row>
    <row r="28" spans="2:20" ht="20.100000000000001" hidden="1" customHeight="1" outlineLevel="1" x14ac:dyDescent="0.2">
      <c r="B28" s="30" t="s">
        <v>469</v>
      </c>
      <c r="D28" s="30">
        <v>541</v>
      </c>
      <c r="E28" s="30" t="str">
        <f t="shared" ref="E28:E30" si="19">LEFT(H28,1)</f>
        <v>6</v>
      </c>
      <c r="F28" s="30" t="str">
        <f t="shared" ref="F28:F30" si="20">LEFT(H28,2)</f>
        <v>63</v>
      </c>
      <c r="G28" s="26" t="str">
        <f t="shared" ref="G28:G30" si="21">LEFT(H28,3)</f>
        <v>632</v>
      </c>
      <c r="H28" s="86" t="s">
        <v>307</v>
      </c>
      <c r="I28" s="86" t="s">
        <v>309</v>
      </c>
      <c r="J28" s="87"/>
      <c r="K28" s="87"/>
      <c r="L28" s="87"/>
      <c r="M28" s="87">
        <f t="shared" si="0"/>
        <v>0</v>
      </c>
      <c r="N28" s="87">
        <f t="shared" si="1"/>
        <v>0</v>
      </c>
      <c r="O28" s="31"/>
      <c r="T28" s="25" t="str">
        <f t="shared" si="5"/>
        <v>5416321</v>
      </c>
    </row>
    <row r="29" spans="2:20" ht="20.100000000000001" hidden="1" customHeight="1" outlineLevel="1" x14ac:dyDescent="0.2">
      <c r="B29" s="30" t="s">
        <v>469</v>
      </c>
      <c r="D29" s="30">
        <v>541</v>
      </c>
      <c r="E29" s="30" t="str">
        <f t="shared" si="19"/>
        <v>6</v>
      </c>
      <c r="F29" s="30" t="str">
        <f t="shared" si="20"/>
        <v>63</v>
      </c>
      <c r="G29" s="26" t="str">
        <f t="shared" si="21"/>
        <v>632</v>
      </c>
      <c r="H29" s="86" t="s">
        <v>310</v>
      </c>
      <c r="I29" s="86" t="s">
        <v>312</v>
      </c>
      <c r="J29" s="87"/>
      <c r="K29" s="87"/>
      <c r="L29" s="87"/>
      <c r="M29" s="87">
        <f t="shared" si="0"/>
        <v>0</v>
      </c>
      <c r="N29" s="87">
        <f t="shared" si="1"/>
        <v>0</v>
      </c>
      <c r="O29" s="31"/>
      <c r="T29" s="25" t="str">
        <f t="shared" si="5"/>
        <v>5416322</v>
      </c>
    </row>
    <row r="30" spans="2:20" ht="20.100000000000001" hidden="1" customHeight="1" outlineLevel="1" x14ac:dyDescent="0.2">
      <c r="B30" s="30" t="s">
        <v>469</v>
      </c>
      <c r="D30" s="30">
        <v>541</v>
      </c>
      <c r="E30" s="30" t="str">
        <f t="shared" si="19"/>
        <v>9</v>
      </c>
      <c r="F30" s="30" t="str">
        <f t="shared" si="20"/>
        <v>92</v>
      </c>
      <c r="G30" s="26" t="str">
        <f t="shared" si="21"/>
        <v>922</v>
      </c>
      <c r="H30" s="86" t="s">
        <v>298</v>
      </c>
      <c r="I30" s="86" t="s">
        <v>300</v>
      </c>
      <c r="J30" s="87"/>
      <c r="K30" s="87"/>
      <c r="L30" s="87"/>
      <c r="M30" s="87">
        <f t="shared" si="0"/>
        <v>0</v>
      </c>
      <c r="N30" s="87">
        <f t="shared" si="1"/>
        <v>0</v>
      </c>
      <c r="O30" s="31"/>
      <c r="T30" s="25" t="str">
        <f t="shared" si="5"/>
        <v>5419221</v>
      </c>
    </row>
    <row r="31" spans="2:20" ht="24.95" customHeight="1" collapsed="1" x14ac:dyDescent="0.2">
      <c r="B31" s="30"/>
      <c r="H31" s="230" t="s">
        <v>586</v>
      </c>
      <c r="I31" s="230"/>
      <c r="J31" s="79">
        <f>SUM(J32:J33)</f>
        <v>344.44</v>
      </c>
      <c r="K31" s="79">
        <f t="shared" ref="K31:L31" si="22">SUM(K32:K33)</f>
        <v>0</v>
      </c>
      <c r="L31" s="79">
        <f t="shared" si="22"/>
        <v>34936</v>
      </c>
      <c r="M31" s="79">
        <f t="shared" si="0"/>
        <v>10142.840552781327</v>
      </c>
      <c r="N31" s="79">
        <f t="shared" si="1"/>
        <v>0</v>
      </c>
    </row>
    <row r="32" spans="2:20" ht="20.100000000000001" hidden="1" customHeight="1" outlineLevel="1" x14ac:dyDescent="0.2">
      <c r="B32" s="30" t="s">
        <v>469</v>
      </c>
      <c r="D32" s="30">
        <v>561</v>
      </c>
      <c r="E32" s="30" t="str">
        <f t="shared" ref="E32:E33" si="23">LEFT(H32,1)</f>
        <v>6</v>
      </c>
      <c r="F32" s="30" t="str">
        <f t="shared" ref="F32:F33" si="24">LEFT(H32,2)</f>
        <v>63</v>
      </c>
      <c r="G32" s="26" t="str">
        <f t="shared" ref="G32:G33" si="25">LEFT(H32,3)</f>
        <v>638</v>
      </c>
      <c r="H32" s="86" t="s">
        <v>314</v>
      </c>
      <c r="I32" s="86" t="s">
        <v>316</v>
      </c>
      <c r="J32" s="87">
        <v>344.44</v>
      </c>
      <c r="K32" s="87"/>
      <c r="L32" s="87">
        <v>34936</v>
      </c>
      <c r="M32" s="87">
        <f t="shared" si="0"/>
        <v>10142.840552781327</v>
      </c>
      <c r="N32" s="87">
        <f t="shared" si="1"/>
        <v>0</v>
      </c>
      <c r="O32" s="31"/>
      <c r="T32" s="25" t="str">
        <f t="shared" si="5"/>
        <v>5616381</v>
      </c>
    </row>
    <row r="33" spans="1:22" ht="20.100000000000001" hidden="1" customHeight="1" outlineLevel="1" x14ac:dyDescent="0.2">
      <c r="B33" s="30" t="s">
        <v>469</v>
      </c>
      <c r="D33" s="30">
        <v>561</v>
      </c>
      <c r="E33" s="30" t="str">
        <f t="shared" si="23"/>
        <v>9</v>
      </c>
      <c r="F33" s="30" t="str">
        <f t="shared" si="24"/>
        <v>92</v>
      </c>
      <c r="G33" s="26" t="str">
        <f t="shared" si="25"/>
        <v>922</v>
      </c>
      <c r="H33" s="86" t="s">
        <v>298</v>
      </c>
      <c r="I33" s="86" t="s">
        <v>300</v>
      </c>
      <c r="J33" s="87"/>
      <c r="K33" s="87"/>
      <c r="L33" s="87"/>
      <c r="M33" s="87">
        <f t="shared" si="0"/>
        <v>0</v>
      </c>
      <c r="N33" s="87">
        <f t="shared" si="1"/>
        <v>0</v>
      </c>
      <c r="O33" s="31"/>
      <c r="T33" s="25" t="str">
        <f t="shared" si="5"/>
        <v>5619221</v>
      </c>
    </row>
    <row r="34" spans="1:22" ht="24.95" customHeight="1" collapsed="1" x14ac:dyDescent="0.2">
      <c r="B34" s="30"/>
      <c r="H34" s="235" t="s">
        <v>587</v>
      </c>
      <c r="I34" s="235"/>
      <c r="J34" s="79">
        <f>SUM(J35:J36)</f>
        <v>0</v>
      </c>
      <c r="K34" s="79">
        <f t="shared" ref="K34:L34" si="26">SUM(K35:K36)</f>
        <v>0</v>
      </c>
      <c r="L34" s="79">
        <f t="shared" si="26"/>
        <v>1000</v>
      </c>
      <c r="M34" s="79">
        <f t="shared" si="0"/>
        <v>0</v>
      </c>
      <c r="N34" s="79">
        <f t="shared" si="1"/>
        <v>0</v>
      </c>
    </row>
    <row r="35" spans="1:22" ht="20.100000000000001" hidden="1" customHeight="1" outlineLevel="1" x14ac:dyDescent="0.2">
      <c r="B35" s="30" t="s">
        <v>469</v>
      </c>
      <c r="D35" s="30">
        <v>541</v>
      </c>
      <c r="E35" s="30" t="str">
        <f t="shared" ref="E35:E36" si="27">LEFT(H35,1)</f>
        <v>6</v>
      </c>
      <c r="F35" s="30" t="str">
        <f t="shared" ref="F35:F36" si="28">LEFT(H35,2)</f>
        <v>63</v>
      </c>
      <c r="G35" s="26" t="str">
        <f t="shared" ref="G35:G36" si="29">LEFT(H35,3)</f>
        <v>632</v>
      </c>
      <c r="H35" s="86" t="s">
        <v>307</v>
      </c>
      <c r="I35" s="86" t="s">
        <v>309</v>
      </c>
      <c r="J35" s="87"/>
      <c r="K35" s="87"/>
      <c r="L35" s="87">
        <v>1000</v>
      </c>
      <c r="M35" s="87">
        <f t="shared" si="0"/>
        <v>0</v>
      </c>
      <c r="N35" s="87">
        <f t="shared" si="1"/>
        <v>0</v>
      </c>
      <c r="O35" s="31"/>
      <c r="T35" s="25" t="str">
        <f t="shared" ref="T35" si="30">CONCATENATE(C35,D35,H35)</f>
        <v>5416321</v>
      </c>
    </row>
    <row r="36" spans="1:22" ht="20.100000000000001" hidden="1" customHeight="1" outlineLevel="1" x14ac:dyDescent="0.2">
      <c r="B36" s="30" t="s">
        <v>469</v>
      </c>
      <c r="D36" s="30">
        <v>562</v>
      </c>
      <c r="E36" s="30" t="str">
        <f t="shared" si="27"/>
        <v>6</v>
      </c>
      <c r="F36" s="30" t="str">
        <f t="shared" si="28"/>
        <v>63</v>
      </c>
      <c r="G36" s="26" t="str">
        <f t="shared" si="29"/>
        <v>638</v>
      </c>
      <c r="H36" s="212" t="s">
        <v>314</v>
      </c>
      <c r="I36" s="86" t="s">
        <v>316</v>
      </c>
      <c r="J36" s="87"/>
      <c r="K36" s="87"/>
      <c r="L36" s="87"/>
      <c r="M36" s="87">
        <f t="shared" si="0"/>
        <v>0</v>
      </c>
      <c r="N36" s="87">
        <f t="shared" si="1"/>
        <v>0</v>
      </c>
      <c r="O36" s="31"/>
      <c r="T36" s="25" t="str">
        <f t="shared" si="5"/>
        <v>5626381</v>
      </c>
    </row>
    <row r="37" spans="1:22" ht="24.95" customHeight="1" collapsed="1" x14ac:dyDescent="0.2">
      <c r="B37" s="30"/>
      <c r="H37" s="230" t="s">
        <v>45</v>
      </c>
      <c r="I37" s="230"/>
      <c r="J37" s="79">
        <f t="shared" ref="J37:L37" si="31">SUM(J38:J38)</f>
        <v>149</v>
      </c>
      <c r="K37" s="79">
        <f t="shared" si="31"/>
        <v>100000</v>
      </c>
      <c r="L37" s="79">
        <f t="shared" si="31"/>
        <v>0</v>
      </c>
      <c r="M37" s="79">
        <f t="shared" si="0"/>
        <v>0</v>
      </c>
      <c r="N37" s="79">
        <f t="shared" si="1"/>
        <v>0</v>
      </c>
    </row>
    <row r="38" spans="1:22" ht="20.100000000000001" hidden="1" customHeight="1" outlineLevel="1" x14ac:dyDescent="0.2">
      <c r="B38" s="30" t="s">
        <v>469</v>
      </c>
      <c r="D38" s="30">
        <v>611</v>
      </c>
      <c r="E38" s="30" t="str">
        <f t="shared" ref="E38" si="32">LEFT(H38,1)</f>
        <v>6</v>
      </c>
      <c r="F38" s="30" t="str">
        <f t="shared" ref="F38" si="33">LEFT(H38,2)</f>
        <v>66</v>
      </c>
      <c r="G38" s="26" t="str">
        <f t="shared" ref="G38" si="34">LEFT(H38,3)</f>
        <v>663</v>
      </c>
      <c r="H38" s="86" t="s">
        <v>321</v>
      </c>
      <c r="I38" s="86" t="s">
        <v>323</v>
      </c>
      <c r="J38" s="87">
        <v>149</v>
      </c>
      <c r="K38" s="87">
        <v>100000</v>
      </c>
      <c r="L38" s="87"/>
      <c r="M38" s="87">
        <f t="shared" si="0"/>
        <v>0</v>
      </c>
      <c r="N38" s="87">
        <f t="shared" si="1"/>
        <v>0</v>
      </c>
      <c r="O38" s="31"/>
      <c r="T38" s="25" t="str">
        <f t="shared" si="5"/>
        <v>6116632</v>
      </c>
    </row>
    <row r="39" spans="1:22" ht="24.95" customHeight="1" collapsed="1" thickBot="1" x14ac:dyDescent="0.25">
      <c r="B39" s="30"/>
      <c r="H39" s="230" t="s">
        <v>48</v>
      </c>
      <c r="I39" s="230"/>
      <c r="J39" s="79">
        <f t="shared" ref="J39:L39" si="35">SUM(J40:J40)</f>
        <v>0</v>
      </c>
      <c r="K39" s="79">
        <f t="shared" si="35"/>
        <v>1300</v>
      </c>
      <c r="L39" s="79">
        <f t="shared" si="35"/>
        <v>0</v>
      </c>
      <c r="M39" s="79">
        <f t="shared" si="0"/>
        <v>0</v>
      </c>
      <c r="N39" s="79">
        <f t="shared" si="1"/>
        <v>0</v>
      </c>
    </row>
    <row r="40" spans="1:22" ht="20.100000000000001" hidden="1" customHeight="1" outlineLevel="1" thickBot="1" x14ac:dyDescent="0.25">
      <c r="B40" s="30" t="s">
        <v>469</v>
      </c>
      <c r="D40" s="30">
        <v>711</v>
      </c>
      <c r="E40" s="30" t="str">
        <f t="shared" ref="E40" si="36">LEFT(H40,1)</f>
        <v>7</v>
      </c>
      <c r="F40" s="30" t="str">
        <f t="shared" ref="F40" si="37">LEFT(H40,2)</f>
        <v>72</v>
      </c>
      <c r="G40" s="26" t="str">
        <f t="shared" ref="G40" si="38">LEFT(H40,3)</f>
        <v>721</v>
      </c>
      <c r="H40" s="86" t="s">
        <v>324</v>
      </c>
      <c r="I40" s="86" t="s">
        <v>326</v>
      </c>
      <c r="J40" s="87"/>
      <c r="K40" s="87">
        <v>1300</v>
      </c>
      <c r="L40" s="87"/>
      <c r="M40" s="87">
        <f t="shared" si="0"/>
        <v>0</v>
      </c>
      <c r="N40" s="87">
        <f t="shared" si="1"/>
        <v>0</v>
      </c>
      <c r="O40" s="31"/>
      <c r="T40" s="25" t="str">
        <f t="shared" si="5"/>
        <v>7117211</v>
      </c>
    </row>
    <row r="41" spans="1:22" ht="35.1" customHeight="1" collapsed="1" thickBot="1" x14ac:dyDescent="0.25">
      <c r="H41" s="225" t="s">
        <v>463</v>
      </c>
      <c r="I41" s="225"/>
      <c r="J41" s="82" t="e">
        <f>J42+J142+J224+J227+J231</f>
        <v>#VALUE!</v>
      </c>
      <c r="K41" s="82">
        <f>K42+K142+K224+K227+K231</f>
        <v>25543600</v>
      </c>
      <c r="L41" s="82">
        <f>L42+L142+L224+L227+L231</f>
        <v>12443169.619999997</v>
      </c>
      <c r="M41" s="82" t="e">
        <f t="shared" si="0"/>
        <v>#VALUE!</v>
      </c>
      <c r="N41" s="82">
        <f t="shared" si="1"/>
        <v>48.713453154606228</v>
      </c>
    </row>
    <row r="42" spans="1:22" ht="35.1" customHeight="1" collapsed="1" thickBot="1" x14ac:dyDescent="0.25">
      <c r="H42" s="225" t="s">
        <v>55</v>
      </c>
      <c r="I42" s="225"/>
      <c r="J42" s="82" t="e">
        <f>J43+J69+J99+J71+J106+J136</f>
        <v>#VALUE!</v>
      </c>
      <c r="K42" s="82">
        <f t="shared" ref="K42:L42" si="39">K43+K69+K99+K71+K106+K136</f>
        <v>21631800</v>
      </c>
      <c r="L42" s="82">
        <f t="shared" si="39"/>
        <v>10955694.719999997</v>
      </c>
      <c r="M42" s="82" t="e">
        <f t="shared" si="0"/>
        <v>#VALUE!</v>
      </c>
      <c r="N42" s="82">
        <f t="shared" si="1"/>
        <v>50.646246359526238</v>
      </c>
      <c r="V42" s="31"/>
    </row>
    <row r="43" spans="1:22" ht="24.95" customHeight="1" x14ac:dyDescent="0.2">
      <c r="H43" s="230" t="s">
        <v>56</v>
      </c>
      <c r="I43" s="230"/>
      <c r="J43" s="79" t="e">
        <f>SUMIFS(J44:J245,$C44:$C245,"A212401",$D44:$D245,"112")</f>
        <v>#VALUE!</v>
      </c>
      <c r="K43" s="79">
        <f>SUMIFS(K44:K245,$C44:$C245,"A212401",$D44:$D245,"112")</f>
        <v>19799900</v>
      </c>
      <c r="L43" s="79">
        <f>SUMIFS(L44:L245,$C44:$C245,"A212401",$D44:$D245,"112")</f>
        <v>10133814.529999996</v>
      </c>
      <c r="M43" s="79" t="e">
        <f t="shared" si="0"/>
        <v>#VALUE!</v>
      </c>
      <c r="N43" s="79">
        <f t="shared" si="1"/>
        <v>51.181139955252277</v>
      </c>
    </row>
    <row r="44" spans="1:22" ht="20.100000000000001" hidden="1" customHeight="1" outlineLevel="1" x14ac:dyDescent="0.2">
      <c r="A44" s="25" t="str">
        <f>CONCATENATE(C44,D44,H44)</f>
        <v>A2124011123111</v>
      </c>
      <c r="B44" s="30" t="s">
        <v>472</v>
      </c>
      <c r="C44" s="26" t="s">
        <v>327</v>
      </c>
      <c r="D44" s="30">
        <v>112</v>
      </c>
      <c r="E44" s="30" t="str">
        <f t="shared" ref="E44:E68" si="40">LEFT(H44,1)</f>
        <v>3</v>
      </c>
      <c r="F44" s="30" t="str">
        <f t="shared" ref="F44:F68" si="41">LEFT(H44,2)</f>
        <v>31</v>
      </c>
      <c r="G44" s="26" t="str">
        <f t="shared" ref="G44:G68" si="42">LEFT(H44,3)</f>
        <v>311</v>
      </c>
      <c r="H44" s="86" t="s">
        <v>57</v>
      </c>
      <c r="I44" s="86" t="s">
        <v>59</v>
      </c>
      <c r="J44" s="87" t="e">
        <f>SUMIFS([2]Anl_20250630!$K$6:$K$173,[2]Anl_20250630!$A$6:$A$173,A44)</f>
        <v>#VALUE!</v>
      </c>
      <c r="K44" s="87">
        <f>_xlfn.IFNA(VLOOKUP(T44,[3]Rashodi_2026_RI!$A$18:$Z$10000,14,FALSE),0)</f>
        <v>14682100</v>
      </c>
      <c r="L44" s="87">
        <f>_xlfn.IFNA(VLOOKUP(T44,[3]Rashodi_2026_RI!$A$18:$Z$10000,15,FALSE),0)</f>
        <v>7344009.79</v>
      </c>
      <c r="M44" s="87" t="e">
        <f t="shared" si="0"/>
        <v>#VALUE!</v>
      </c>
      <c r="N44" s="87">
        <f t="shared" si="1"/>
        <v>50.020159173415244</v>
      </c>
      <c r="O44" s="31"/>
      <c r="T44" s="25" t="str">
        <f t="shared" si="5"/>
        <v>A2124011123111</v>
      </c>
    </row>
    <row r="45" spans="1:22" ht="20.100000000000001" hidden="1" customHeight="1" outlineLevel="1" x14ac:dyDescent="0.2">
      <c r="A45" s="25" t="str">
        <f t="shared" ref="A45:A108" si="43">CONCATENATE(C45,D45,H45)</f>
        <v>A2124011123121</v>
      </c>
      <c r="B45" s="30" t="s">
        <v>472</v>
      </c>
      <c r="C45" s="26" t="s">
        <v>327</v>
      </c>
      <c r="D45" s="30">
        <v>112</v>
      </c>
      <c r="E45" s="30" t="str">
        <f t="shared" si="40"/>
        <v>3</v>
      </c>
      <c r="F45" s="30" t="str">
        <f t="shared" si="41"/>
        <v>31</v>
      </c>
      <c r="G45" s="26" t="str">
        <f t="shared" si="42"/>
        <v>312</v>
      </c>
      <c r="H45" s="86" t="s">
        <v>60</v>
      </c>
      <c r="I45" s="86" t="s">
        <v>62</v>
      </c>
      <c r="J45" s="87" t="e">
        <f>SUMIFS([2]Anl_20250630!$K$6:$K$173,[2]Anl_20250630!$A$6:$A$173,A45)</f>
        <v>#VALUE!</v>
      </c>
      <c r="K45" s="87">
        <f>_xlfn.IFNA(VLOOKUP(T45,[3]Rashodi_2026_RI!$A$18:$Z$10000,14,FALSE),0)</f>
        <v>1050300</v>
      </c>
      <c r="L45" s="87">
        <f>_xlfn.IFNA(VLOOKUP(T45,[3]Rashodi_2026_RI!$A$18:$Z$10000,15,FALSE),0)</f>
        <v>719085.75999999989</v>
      </c>
      <c r="M45" s="87" t="e">
        <f t="shared" si="0"/>
        <v>#VALUE!</v>
      </c>
      <c r="N45" s="87">
        <f t="shared" si="1"/>
        <v>68.464796724745298</v>
      </c>
      <c r="O45" s="31"/>
      <c r="T45" s="25" t="str">
        <f t="shared" si="5"/>
        <v>A2124011123121</v>
      </c>
    </row>
    <row r="46" spans="1:22" ht="20.100000000000001" hidden="1" customHeight="1" outlineLevel="1" x14ac:dyDescent="0.2">
      <c r="A46" s="25" t="str">
        <f t="shared" si="43"/>
        <v>A2124011123132</v>
      </c>
      <c r="B46" s="30" t="s">
        <v>472</v>
      </c>
      <c r="C46" s="26" t="s">
        <v>327</v>
      </c>
      <c r="D46" s="30">
        <v>112</v>
      </c>
      <c r="E46" s="30" t="str">
        <f t="shared" si="40"/>
        <v>3</v>
      </c>
      <c r="F46" s="30" t="str">
        <f t="shared" si="41"/>
        <v>31</v>
      </c>
      <c r="G46" s="26" t="str">
        <f t="shared" si="42"/>
        <v>313</v>
      </c>
      <c r="H46" s="86" t="s">
        <v>63</v>
      </c>
      <c r="I46" s="86" t="s">
        <v>65</v>
      </c>
      <c r="J46" s="87" t="e">
        <f>SUMIFS([2]Anl_20250630!$K$6:$K$173,[2]Anl_20250630!$A$6:$A$173,A46)</f>
        <v>#VALUE!</v>
      </c>
      <c r="K46" s="87">
        <f>_xlfn.IFNA(VLOOKUP(T46,[3]Rashodi_2026_RI!$A$18:$Z$10000,14,FALSE),0)</f>
        <v>2333800</v>
      </c>
      <c r="L46" s="87">
        <f>_xlfn.IFNA(VLOOKUP(T46,[3]Rashodi_2026_RI!$A$18:$Z$10000,15,FALSE),0)</f>
        <v>1186803.58</v>
      </c>
      <c r="M46" s="87" t="e">
        <f t="shared" si="0"/>
        <v>#VALUE!</v>
      </c>
      <c r="N46" s="87">
        <f t="shared" si="1"/>
        <v>50.852840003427893</v>
      </c>
      <c r="O46" s="31"/>
      <c r="T46" s="25" t="str">
        <f t="shared" si="5"/>
        <v>A2124011123132</v>
      </c>
    </row>
    <row r="47" spans="1:22" ht="20.100000000000001" hidden="1" customHeight="1" outlineLevel="1" x14ac:dyDescent="0.2">
      <c r="A47" s="25" t="str">
        <f t="shared" si="43"/>
        <v>A2124011123212</v>
      </c>
      <c r="B47" s="30" t="s">
        <v>472</v>
      </c>
      <c r="C47" s="26" t="s">
        <v>327</v>
      </c>
      <c r="D47" s="30">
        <v>112</v>
      </c>
      <c r="E47" s="30" t="str">
        <f t="shared" si="40"/>
        <v>3</v>
      </c>
      <c r="F47" s="30" t="str">
        <f t="shared" si="41"/>
        <v>32</v>
      </c>
      <c r="G47" s="26" t="str">
        <f t="shared" si="42"/>
        <v>321</v>
      </c>
      <c r="H47" s="86" t="s">
        <v>66</v>
      </c>
      <c r="I47" s="86" t="s">
        <v>68</v>
      </c>
      <c r="J47" s="87" t="e">
        <f>SUMIFS([2]Anl_20250630!$K$6:$K$173,[2]Anl_20250630!$A$6:$A$173,A47)</f>
        <v>#VALUE!</v>
      </c>
      <c r="K47" s="87">
        <f>_xlfn.IFNA(VLOOKUP(T47,[3]Rashodi_2026_RI!$A$18:$Z$10000,14,FALSE),0)</f>
        <v>347000</v>
      </c>
      <c r="L47" s="87">
        <f>_xlfn.IFNA(VLOOKUP(T47,[3]Rashodi_2026_RI!$A$18:$Z$10000,15,FALSE),0)</f>
        <v>154131.35999999999</v>
      </c>
      <c r="M47" s="87" t="e">
        <f t="shared" si="0"/>
        <v>#VALUE!</v>
      </c>
      <c r="N47" s="87">
        <f t="shared" si="1"/>
        <v>44.418259365994231</v>
      </c>
      <c r="O47" s="31"/>
      <c r="T47" s="25" t="str">
        <f t="shared" si="5"/>
        <v>A2124011123212</v>
      </c>
    </row>
    <row r="48" spans="1:22" ht="20.100000000000001" hidden="1" customHeight="1" outlineLevel="1" x14ac:dyDescent="0.2">
      <c r="A48" s="25" t="str">
        <f t="shared" si="43"/>
        <v>A2124011123213</v>
      </c>
      <c r="B48" s="30" t="s">
        <v>472</v>
      </c>
      <c r="C48" s="26" t="s">
        <v>327</v>
      </c>
      <c r="D48" s="30">
        <v>112</v>
      </c>
      <c r="E48" s="30" t="str">
        <f t="shared" si="40"/>
        <v>3</v>
      </c>
      <c r="F48" s="30" t="str">
        <f t="shared" si="41"/>
        <v>32</v>
      </c>
      <c r="G48" s="26" t="str">
        <f t="shared" si="42"/>
        <v>321</v>
      </c>
      <c r="H48" s="86" t="s">
        <v>69</v>
      </c>
      <c r="I48" s="86" t="s">
        <v>71</v>
      </c>
      <c r="J48" s="87" t="e">
        <f>SUMIFS([2]Anl_20250630!$K$6:$K$173,[2]Anl_20250630!$A$6:$A$173,A48)</f>
        <v>#VALUE!</v>
      </c>
      <c r="K48" s="87">
        <f>_xlfn.IFNA(VLOOKUP(T48,[3]Rashodi_2026_RI!$A$18:$Z$10000,14,FALSE),0)</f>
        <v>40000</v>
      </c>
      <c r="L48" s="87">
        <f>_xlfn.IFNA(VLOOKUP(T48,[3]Rashodi_2026_RI!$A$18:$Z$10000,15,FALSE),0)</f>
        <v>6365.7699999999995</v>
      </c>
      <c r="M48" s="87" t="e">
        <f t="shared" si="0"/>
        <v>#VALUE!</v>
      </c>
      <c r="N48" s="87">
        <f t="shared" si="1"/>
        <v>15.914424999999998</v>
      </c>
      <c r="O48" s="31"/>
      <c r="T48" s="25" t="str">
        <f t="shared" si="5"/>
        <v>A2124011123213</v>
      </c>
    </row>
    <row r="49" spans="1:20" ht="20.100000000000001" hidden="1" customHeight="1" outlineLevel="1" x14ac:dyDescent="0.2">
      <c r="A49" s="25" t="str">
        <f t="shared" si="43"/>
        <v>A2124011123221</v>
      </c>
      <c r="B49" s="30" t="s">
        <v>472</v>
      </c>
      <c r="C49" s="26" t="s">
        <v>327</v>
      </c>
      <c r="D49" s="30">
        <v>112</v>
      </c>
      <c r="E49" s="30" t="str">
        <f t="shared" si="40"/>
        <v>3</v>
      </c>
      <c r="F49" s="30" t="str">
        <f t="shared" si="41"/>
        <v>32</v>
      </c>
      <c r="G49" s="26" t="str">
        <f t="shared" si="42"/>
        <v>322</v>
      </c>
      <c r="H49" s="86" t="s">
        <v>72</v>
      </c>
      <c r="I49" s="86" t="s">
        <v>74</v>
      </c>
      <c r="J49" s="87" t="e">
        <f>SUMIFS([2]Anl_20250630!$K$6:$K$173,[2]Anl_20250630!$A$6:$A$173,A49)</f>
        <v>#VALUE!</v>
      </c>
      <c r="K49" s="87">
        <f>_xlfn.IFNA(VLOOKUP(T49,[3]Rashodi_2026_RI!$A$18:$Z$10000,14,FALSE),0)</f>
        <v>3000</v>
      </c>
      <c r="L49" s="87">
        <f>_xlfn.IFNA(VLOOKUP(T49,[3]Rashodi_2026_RI!$A$18:$Z$10000,15,FALSE),0)</f>
        <v>2999.9999999999995</v>
      </c>
      <c r="M49" s="87" t="e">
        <f t="shared" si="0"/>
        <v>#VALUE!</v>
      </c>
      <c r="N49" s="87">
        <f t="shared" si="1"/>
        <v>99.999999999999986</v>
      </c>
      <c r="O49" s="31"/>
      <c r="T49" s="25" t="str">
        <f t="shared" si="5"/>
        <v>A2124011123221</v>
      </c>
    </row>
    <row r="50" spans="1:20" ht="20.100000000000001" hidden="1" customHeight="1" outlineLevel="1" x14ac:dyDescent="0.2">
      <c r="A50" s="25" t="str">
        <f t="shared" si="43"/>
        <v>A2124011123222</v>
      </c>
      <c r="B50" s="30" t="s">
        <v>472</v>
      </c>
      <c r="C50" s="26" t="s">
        <v>327</v>
      </c>
      <c r="D50" s="30">
        <v>112</v>
      </c>
      <c r="E50" s="30" t="str">
        <f t="shared" si="40"/>
        <v>3</v>
      </c>
      <c r="F50" s="30" t="str">
        <f t="shared" si="41"/>
        <v>32</v>
      </c>
      <c r="G50" s="26" t="str">
        <f t="shared" si="42"/>
        <v>322</v>
      </c>
      <c r="H50" s="86" t="s">
        <v>75</v>
      </c>
      <c r="I50" s="86" t="s">
        <v>77</v>
      </c>
      <c r="J50" s="87" t="e">
        <f>SUMIFS([2]Anl_20250630!$K$6:$K$173,[2]Anl_20250630!$A$6:$A$173,A50)</f>
        <v>#VALUE!</v>
      </c>
      <c r="K50" s="87">
        <f>_xlfn.IFNA(VLOOKUP(T50,[3]Rashodi_2026_RI!$A$18:$Z$10000,14,FALSE),0)</f>
        <v>49700</v>
      </c>
      <c r="L50" s="87">
        <f>_xlfn.IFNA(VLOOKUP(T50,[3]Rashodi_2026_RI!$A$18:$Z$10000,15,FALSE),0)</f>
        <v>29000.370000000003</v>
      </c>
      <c r="M50" s="87" t="e">
        <f t="shared" si="0"/>
        <v>#VALUE!</v>
      </c>
      <c r="N50" s="87">
        <f t="shared" si="1"/>
        <v>58.350845070422544</v>
      </c>
      <c r="O50" s="31"/>
      <c r="T50" s="25" t="str">
        <f t="shared" si="5"/>
        <v>A2124011123222</v>
      </c>
    </row>
    <row r="51" spans="1:20" ht="20.100000000000001" hidden="1" customHeight="1" outlineLevel="1" x14ac:dyDescent="0.2">
      <c r="A51" s="25" t="str">
        <f t="shared" si="43"/>
        <v>A2124011123223</v>
      </c>
      <c r="B51" s="30" t="s">
        <v>472</v>
      </c>
      <c r="C51" s="26" t="s">
        <v>327</v>
      </c>
      <c r="D51" s="30">
        <v>112</v>
      </c>
      <c r="E51" s="30" t="str">
        <f t="shared" si="40"/>
        <v>3</v>
      </c>
      <c r="F51" s="30" t="str">
        <f t="shared" si="41"/>
        <v>32</v>
      </c>
      <c r="G51" s="26" t="str">
        <f t="shared" si="42"/>
        <v>322</v>
      </c>
      <c r="H51" s="86" t="s">
        <v>78</v>
      </c>
      <c r="I51" s="86" t="s">
        <v>80</v>
      </c>
      <c r="J51" s="87" t="e">
        <f>SUMIFS([2]Anl_20250630!$K$6:$K$173,[2]Anl_20250630!$A$6:$A$173,A51)</f>
        <v>#VALUE!</v>
      </c>
      <c r="K51" s="87">
        <f>_xlfn.IFNA(VLOOKUP(T51,[3]Rashodi_2026_RI!$A$18:$Z$10000,14,FALSE),0)</f>
        <v>420000</v>
      </c>
      <c r="L51" s="87">
        <f>_xlfn.IFNA(VLOOKUP(T51,[3]Rashodi_2026_RI!$A$18:$Z$10000,15,FALSE),0)</f>
        <v>180987.14</v>
      </c>
      <c r="M51" s="87" t="e">
        <f t="shared" si="0"/>
        <v>#VALUE!</v>
      </c>
      <c r="N51" s="87">
        <f t="shared" si="1"/>
        <v>43.092176190476195</v>
      </c>
      <c r="O51" s="31"/>
      <c r="T51" s="25" t="str">
        <f t="shared" si="5"/>
        <v>A2124011123223</v>
      </c>
    </row>
    <row r="52" spans="1:20" ht="20.100000000000001" hidden="1" customHeight="1" outlineLevel="1" x14ac:dyDescent="0.2">
      <c r="A52" s="25" t="str">
        <f t="shared" si="43"/>
        <v>A2124011123224</v>
      </c>
      <c r="B52" s="30" t="s">
        <v>472</v>
      </c>
      <c r="C52" s="26" t="s">
        <v>327</v>
      </c>
      <c r="D52" s="30">
        <v>112</v>
      </c>
      <c r="E52" s="30" t="str">
        <f t="shared" si="40"/>
        <v>3</v>
      </c>
      <c r="F52" s="30" t="str">
        <f t="shared" si="41"/>
        <v>32</v>
      </c>
      <c r="G52" s="26" t="str">
        <f t="shared" si="42"/>
        <v>322</v>
      </c>
      <c r="H52" s="86" t="s">
        <v>81</v>
      </c>
      <c r="I52" s="86" t="s">
        <v>83</v>
      </c>
      <c r="J52" s="87" t="e">
        <f>SUMIFS([2]Anl_20250630!$K$6:$K$173,[2]Anl_20250630!$A$6:$A$173,A52)</f>
        <v>#VALUE!</v>
      </c>
      <c r="K52" s="87">
        <f>_xlfn.IFNA(VLOOKUP(T52,[3]Rashodi_2026_RI!$A$18:$Z$10000,14,FALSE),0)</f>
        <v>0</v>
      </c>
      <c r="L52" s="87">
        <f>_xlfn.IFNA(VLOOKUP(T52,[3]Rashodi_2026_RI!$A$18:$Z$10000,15,FALSE),0)</f>
        <v>0</v>
      </c>
      <c r="M52" s="87" t="e">
        <f t="shared" si="0"/>
        <v>#VALUE!</v>
      </c>
      <c r="N52" s="87">
        <f t="shared" si="1"/>
        <v>0</v>
      </c>
      <c r="O52" s="31"/>
      <c r="T52" s="25" t="str">
        <f t="shared" si="5"/>
        <v>A2124011123224</v>
      </c>
    </row>
    <row r="53" spans="1:20" ht="20.100000000000001" hidden="1" customHeight="1" outlineLevel="1" x14ac:dyDescent="0.2">
      <c r="A53" s="25" t="str">
        <f t="shared" si="43"/>
        <v>A2124011123225</v>
      </c>
      <c r="B53" s="30" t="s">
        <v>472</v>
      </c>
      <c r="C53" s="26" t="s">
        <v>327</v>
      </c>
      <c r="D53" s="30">
        <v>112</v>
      </c>
      <c r="E53" s="30" t="str">
        <f t="shared" si="40"/>
        <v>3</v>
      </c>
      <c r="F53" s="30" t="str">
        <f t="shared" si="41"/>
        <v>32</v>
      </c>
      <c r="G53" s="26" t="str">
        <f t="shared" si="42"/>
        <v>322</v>
      </c>
      <c r="H53" s="86" t="s">
        <v>84</v>
      </c>
      <c r="I53" s="86" t="s">
        <v>86</v>
      </c>
      <c r="J53" s="87" t="e">
        <f>SUMIFS([2]Anl_20250630!$K$6:$K$173,[2]Anl_20250630!$A$6:$A$173,A53)</f>
        <v>#VALUE!</v>
      </c>
      <c r="K53" s="87">
        <f>_xlfn.IFNA(VLOOKUP(T53,[3]Rashodi_2026_RI!$A$18:$Z$10000,14,FALSE),0)</f>
        <v>0</v>
      </c>
      <c r="L53" s="87">
        <f>_xlfn.IFNA(VLOOKUP(T53,[3]Rashodi_2026_RI!$A$18:$Z$10000,15,FALSE),0)</f>
        <v>0</v>
      </c>
      <c r="M53" s="87" t="e">
        <f t="shared" si="0"/>
        <v>#VALUE!</v>
      </c>
      <c r="N53" s="87">
        <f t="shared" si="1"/>
        <v>0</v>
      </c>
      <c r="O53" s="31"/>
      <c r="T53" s="25" t="str">
        <f t="shared" si="5"/>
        <v>A2124011123225</v>
      </c>
    </row>
    <row r="54" spans="1:20" ht="20.100000000000001" hidden="1" customHeight="1" outlineLevel="1" x14ac:dyDescent="0.2">
      <c r="A54" s="25" t="str">
        <f t="shared" si="43"/>
        <v>A2124011123231</v>
      </c>
      <c r="B54" s="30" t="s">
        <v>472</v>
      </c>
      <c r="C54" s="26" t="s">
        <v>327</v>
      </c>
      <c r="D54" s="30">
        <v>112</v>
      </c>
      <c r="E54" s="30" t="str">
        <f t="shared" si="40"/>
        <v>3</v>
      </c>
      <c r="F54" s="30" t="str">
        <f t="shared" si="41"/>
        <v>32</v>
      </c>
      <c r="G54" s="26" t="str">
        <f t="shared" si="42"/>
        <v>323</v>
      </c>
      <c r="H54" s="86" t="s">
        <v>87</v>
      </c>
      <c r="I54" s="86" t="s">
        <v>89</v>
      </c>
      <c r="J54" s="87" t="e">
        <f>SUMIFS([2]Anl_20250630!$K$6:$K$173,[2]Anl_20250630!$A$6:$A$173,A54)</f>
        <v>#VALUE!</v>
      </c>
      <c r="K54" s="87">
        <f>_xlfn.IFNA(VLOOKUP(T54,[3]Rashodi_2026_RI!$A$18:$Z$10000,14,FALSE),0)</f>
        <v>4000</v>
      </c>
      <c r="L54" s="87">
        <f>_xlfn.IFNA(VLOOKUP(T54,[3]Rashodi_2026_RI!$A$18:$Z$10000,15,FALSE),0)</f>
        <v>4000</v>
      </c>
      <c r="M54" s="87" t="e">
        <f t="shared" si="0"/>
        <v>#VALUE!</v>
      </c>
      <c r="N54" s="87">
        <f t="shared" si="1"/>
        <v>100</v>
      </c>
      <c r="O54" s="31"/>
      <c r="T54" s="25" t="str">
        <f t="shared" si="5"/>
        <v>A2124011123231</v>
      </c>
    </row>
    <row r="55" spans="1:20" ht="20.100000000000001" hidden="1" customHeight="1" outlineLevel="1" x14ac:dyDescent="0.2">
      <c r="A55" s="25" t="str">
        <f t="shared" si="43"/>
        <v>A2124011123232</v>
      </c>
      <c r="B55" s="30" t="s">
        <v>472</v>
      </c>
      <c r="C55" s="26" t="s">
        <v>327</v>
      </c>
      <c r="D55" s="30">
        <v>112</v>
      </c>
      <c r="E55" s="30" t="str">
        <f t="shared" si="40"/>
        <v>3</v>
      </c>
      <c r="F55" s="30" t="str">
        <f t="shared" si="41"/>
        <v>32</v>
      </c>
      <c r="G55" s="26" t="str">
        <f t="shared" si="42"/>
        <v>323</v>
      </c>
      <c r="H55" s="86" t="s">
        <v>38</v>
      </c>
      <c r="I55" s="86" t="s">
        <v>40</v>
      </c>
      <c r="J55" s="87" t="e">
        <f>SUMIFS([2]Anl_20250630!$K$6:$K$173,[2]Anl_20250630!$A$6:$A$173,A55)</f>
        <v>#VALUE!</v>
      </c>
      <c r="K55" s="87">
        <f>_xlfn.IFNA(VLOOKUP(T55,[3]Rashodi_2026_RI!$A$18:$Z$10000,14,FALSE),0)</f>
        <v>21000</v>
      </c>
      <c r="L55" s="87">
        <f>_xlfn.IFNA(VLOOKUP(T55,[3]Rashodi_2026_RI!$A$18:$Z$10000,15,FALSE),0)</f>
        <v>10526.52</v>
      </c>
      <c r="M55" s="87" t="e">
        <f t="shared" si="0"/>
        <v>#VALUE!</v>
      </c>
      <c r="N55" s="87">
        <f t="shared" si="1"/>
        <v>50.126285714285714</v>
      </c>
      <c r="O55" s="31"/>
      <c r="T55" s="25" t="str">
        <f t="shared" si="5"/>
        <v>A2124011123232</v>
      </c>
    </row>
    <row r="56" spans="1:20" ht="20.100000000000001" hidden="1" customHeight="1" outlineLevel="1" x14ac:dyDescent="0.2">
      <c r="A56" s="25" t="str">
        <f t="shared" si="43"/>
        <v>A2124011123233</v>
      </c>
      <c r="B56" s="30" t="s">
        <v>472</v>
      </c>
      <c r="C56" s="26" t="s">
        <v>327</v>
      </c>
      <c r="D56" s="30">
        <v>112</v>
      </c>
      <c r="E56" s="30" t="str">
        <f t="shared" si="40"/>
        <v>3</v>
      </c>
      <c r="F56" s="30" t="str">
        <f t="shared" si="41"/>
        <v>32</v>
      </c>
      <c r="G56" s="26" t="str">
        <f t="shared" si="42"/>
        <v>323</v>
      </c>
      <c r="H56" s="86" t="s">
        <v>91</v>
      </c>
      <c r="I56" s="86" t="s">
        <v>93</v>
      </c>
      <c r="J56" s="87" t="e">
        <f>SUMIFS([2]Anl_20250630!$K$6:$K$173,[2]Anl_20250630!$A$6:$A$173,A56)</f>
        <v>#VALUE!</v>
      </c>
      <c r="K56" s="87">
        <f>_xlfn.IFNA(VLOOKUP(T56,[3]Rashodi_2026_RI!$A$18:$Z$10000,14,FALSE),0)</f>
        <v>80000</v>
      </c>
      <c r="L56" s="87">
        <f>_xlfn.IFNA(VLOOKUP(T56,[3]Rashodi_2026_RI!$A$18:$Z$10000,15,FALSE),0)</f>
        <v>9747.7000000000007</v>
      </c>
      <c r="M56" s="87" t="e">
        <f t="shared" si="0"/>
        <v>#VALUE!</v>
      </c>
      <c r="N56" s="87">
        <f t="shared" si="1"/>
        <v>12.184625</v>
      </c>
      <c r="O56" s="31"/>
      <c r="T56" s="25" t="str">
        <f t="shared" si="5"/>
        <v>A2124011123233</v>
      </c>
    </row>
    <row r="57" spans="1:20" ht="20.100000000000001" hidden="1" customHeight="1" outlineLevel="1" x14ac:dyDescent="0.2">
      <c r="A57" s="25" t="str">
        <f t="shared" si="43"/>
        <v>A2124011123234</v>
      </c>
      <c r="B57" s="30" t="s">
        <v>472</v>
      </c>
      <c r="C57" s="26" t="s">
        <v>327</v>
      </c>
      <c r="D57" s="30">
        <v>112</v>
      </c>
      <c r="E57" s="30" t="str">
        <f t="shared" si="40"/>
        <v>3</v>
      </c>
      <c r="F57" s="30" t="str">
        <f t="shared" si="41"/>
        <v>32</v>
      </c>
      <c r="G57" s="26" t="str">
        <f t="shared" si="42"/>
        <v>323</v>
      </c>
      <c r="H57" s="86" t="s">
        <v>94</v>
      </c>
      <c r="I57" s="86" t="s">
        <v>96</v>
      </c>
      <c r="J57" s="87" t="e">
        <f>SUMIFS([2]Anl_20250630!$K$6:$K$173,[2]Anl_20250630!$A$6:$A$173,A57)</f>
        <v>#VALUE!</v>
      </c>
      <c r="K57" s="87">
        <f>_xlfn.IFNA(VLOOKUP(T57,[3]Rashodi_2026_RI!$A$18:$Z$10000,14,FALSE),0)</f>
        <v>165000</v>
      </c>
      <c r="L57" s="87">
        <f>_xlfn.IFNA(VLOOKUP(T57,[3]Rashodi_2026_RI!$A$18:$Z$10000,15,FALSE),0)</f>
        <v>88991.920000000013</v>
      </c>
      <c r="M57" s="87" t="e">
        <f t="shared" si="0"/>
        <v>#VALUE!</v>
      </c>
      <c r="N57" s="87">
        <f t="shared" si="1"/>
        <v>53.93449696969698</v>
      </c>
      <c r="O57" s="31"/>
      <c r="T57" s="25" t="str">
        <f t="shared" si="5"/>
        <v>A2124011123234</v>
      </c>
    </row>
    <row r="58" spans="1:20" ht="20.100000000000001" hidden="1" customHeight="1" outlineLevel="1" x14ac:dyDescent="0.2">
      <c r="A58" s="25" t="str">
        <f t="shared" si="43"/>
        <v>A2124011123235</v>
      </c>
      <c r="B58" s="30" t="s">
        <v>472</v>
      </c>
      <c r="C58" s="26" t="s">
        <v>327</v>
      </c>
      <c r="D58" s="30">
        <v>112</v>
      </c>
      <c r="E58" s="30" t="str">
        <f t="shared" si="40"/>
        <v>3</v>
      </c>
      <c r="F58" s="30" t="str">
        <f t="shared" si="41"/>
        <v>32</v>
      </c>
      <c r="G58" s="26" t="str">
        <f t="shared" si="42"/>
        <v>323</v>
      </c>
      <c r="H58" s="86" t="s">
        <v>97</v>
      </c>
      <c r="I58" s="86" t="s">
        <v>99</v>
      </c>
      <c r="J58" s="87" t="e">
        <f>SUMIFS([2]Anl_20250630!$K$6:$K$173,[2]Anl_20250630!$A$6:$A$173,A58)</f>
        <v>#VALUE!</v>
      </c>
      <c r="K58" s="87">
        <f>_xlfn.IFNA(VLOOKUP(T58,[3]Rashodi_2026_RI!$A$18:$Z$10000,14,FALSE),0)</f>
        <v>282500</v>
      </c>
      <c r="L58" s="87">
        <f>_xlfn.IFNA(VLOOKUP(T58,[3]Rashodi_2026_RI!$A$18:$Z$10000,15,FALSE),0)</f>
        <v>228504.10000000003</v>
      </c>
      <c r="M58" s="87" t="e">
        <f t="shared" si="0"/>
        <v>#VALUE!</v>
      </c>
      <c r="N58" s="87">
        <f t="shared" si="1"/>
        <v>80.886407079646034</v>
      </c>
      <c r="O58" s="31"/>
      <c r="T58" s="25" t="str">
        <f t="shared" si="5"/>
        <v>A2124011123235</v>
      </c>
    </row>
    <row r="59" spans="1:20" ht="20.100000000000001" hidden="1" customHeight="1" outlineLevel="1" x14ac:dyDescent="0.2">
      <c r="A59" s="25" t="str">
        <f t="shared" si="43"/>
        <v>A2124011123236</v>
      </c>
      <c r="B59" s="30" t="s">
        <v>472</v>
      </c>
      <c r="C59" s="26" t="s">
        <v>327</v>
      </c>
      <c r="D59" s="30">
        <v>112</v>
      </c>
      <c r="E59" s="30" t="str">
        <f t="shared" si="40"/>
        <v>3</v>
      </c>
      <c r="F59" s="30" t="str">
        <f t="shared" si="41"/>
        <v>32</v>
      </c>
      <c r="G59" s="26" t="str">
        <f t="shared" si="42"/>
        <v>323</v>
      </c>
      <c r="H59" s="86" t="s">
        <v>100</v>
      </c>
      <c r="I59" s="86" t="s">
        <v>102</v>
      </c>
      <c r="J59" s="87" t="e">
        <f>SUMIFS([2]Anl_20250630!$K$6:$K$173,[2]Anl_20250630!$A$6:$A$173,A59)</f>
        <v>#VALUE!</v>
      </c>
      <c r="K59" s="87">
        <f>_xlfn.IFNA(VLOOKUP(T59,[3]Rashodi_2026_RI!$A$18:$Z$10000,14,FALSE),0)</f>
        <v>54000</v>
      </c>
      <c r="L59" s="87">
        <f>_xlfn.IFNA(VLOOKUP(T59,[3]Rashodi_2026_RI!$A$18:$Z$10000,15,FALSE),0)</f>
        <v>0</v>
      </c>
      <c r="M59" s="87" t="e">
        <f t="shared" si="0"/>
        <v>#VALUE!</v>
      </c>
      <c r="N59" s="87">
        <f t="shared" si="1"/>
        <v>0</v>
      </c>
      <c r="O59" s="31"/>
      <c r="T59" s="25" t="str">
        <f t="shared" si="5"/>
        <v>A2124011123236</v>
      </c>
    </row>
    <row r="60" spans="1:20" ht="20.100000000000001" hidden="1" customHeight="1" outlineLevel="1" x14ac:dyDescent="0.2">
      <c r="A60" s="25" t="str">
        <f t="shared" si="43"/>
        <v>A2124011123237</v>
      </c>
      <c r="B60" s="30" t="s">
        <v>472</v>
      </c>
      <c r="C60" s="26" t="s">
        <v>327</v>
      </c>
      <c r="D60" s="30">
        <v>112</v>
      </c>
      <c r="E60" s="30" t="str">
        <f t="shared" si="40"/>
        <v>3</v>
      </c>
      <c r="F60" s="30" t="str">
        <f t="shared" si="41"/>
        <v>32</v>
      </c>
      <c r="G60" s="26" t="str">
        <f t="shared" si="42"/>
        <v>323</v>
      </c>
      <c r="H60" s="86" t="s">
        <v>41</v>
      </c>
      <c r="I60" s="86" t="s">
        <v>43</v>
      </c>
      <c r="J60" s="87" t="e">
        <f>SUMIFS([2]Anl_20250630!$K$6:$K$173,[2]Anl_20250630!$A$6:$A$173,A60)</f>
        <v>#VALUE!</v>
      </c>
      <c r="K60" s="87">
        <f>_xlfn.IFNA(VLOOKUP(T60,[3]Rashodi_2026_RI!$A$18:$Z$10000,14,FALSE),0)</f>
        <v>79500</v>
      </c>
      <c r="L60" s="87">
        <f>_xlfn.IFNA(VLOOKUP(T60,[3]Rashodi_2026_RI!$A$18:$Z$10000,15,FALSE),0)</f>
        <v>77525.000000000015</v>
      </c>
      <c r="M60" s="87" t="e">
        <f t="shared" si="0"/>
        <v>#VALUE!</v>
      </c>
      <c r="N60" s="87">
        <f t="shared" si="1"/>
        <v>97.515723270440276</v>
      </c>
      <c r="O60" s="31"/>
      <c r="T60" s="25" t="str">
        <f t="shared" si="5"/>
        <v>A2124011123237</v>
      </c>
    </row>
    <row r="61" spans="1:20" ht="20.100000000000001" hidden="1" customHeight="1" outlineLevel="1" x14ac:dyDescent="0.2">
      <c r="A61" s="25" t="str">
        <f t="shared" si="43"/>
        <v>A2124011123238</v>
      </c>
      <c r="B61" s="30" t="s">
        <v>472</v>
      </c>
      <c r="C61" s="26" t="s">
        <v>327</v>
      </c>
      <c r="D61" s="30">
        <v>112</v>
      </c>
      <c r="E61" s="30" t="str">
        <f t="shared" si="40"/>
        <v>3</v>
      </c>
      <c r="F61" s="30" t="str">
        <f t="shared" si="41"/>
        <v>32</v>
      </c>
      <c r="G61" s="26" t="str">
        <f t="shared" si="42"/>
        <v>323</v>
      </c>
      <c r="H61" s="86" t="s">
        <v>104</v>
      </c>
      <c r="I61" s="86" t="s">
        <v>106</v>
      </c>
      <c r="J61" s="87" t="e">
        <f>SUMIFS([2]Anl_20250630!$K$6:$K$173,[2]Anl_20250630!$A$6:$A$173,A61)</f>
        <v>#VALUE!</v>
      </c>
      <c r="K61" s="87">
        <f>_xlfn.IFNA(VLOOKUP(T61,[3]Rashodi_2026_RI!$A$18:$Z$10000,14,FALSE),0)</f>
        <v>47000</v>
      </c>
      <c r="L61" s="87">
        <f>_xlfn.IFNA(VLOOKUP(T61,[3]Rashodi_2026_RI!$A$18:$Z$10000,15,FALSE),0)</f>
        <v>47000</v>
      </c>
      <c r="M61" s="87" t="e">
        <f t="shared" si="0"/>
        <v>#VALUE!</v>
      </c>
      <c r="N61" s="87">
        <f t="shared" si="1"/>
        <v>100</v>
      </c>
      <c r="O61" s="31"/>
      <c r="T61" s="25" t="str">
        <f t="shared" si="5"/>
        <v>A2124011123238</v>
      </c>
    </row>
    <row r="62" spans="1:20" ht="20.100000000000001" hidden="1" customHeight="1" outlineLevel="1" x14ac:dyDescent="0.2">
      <c r="A62" s="25" t="str">
        <f t="shared" si="43"/>
        <v>A2124011123239</v>
      </c>
      <c r="B62" s="30" t="s">
        <v>472</v>
      </c>
      <c r="C62" s="26" t="s">
        <v>327</v>
      </c>
      <c r="D62" s="30">
        <v>112</v>
      </c>
      <c r="E62" s="30" t="str">
        <f t="shared" si="40"/>
        <v>3</v>
      </c>
      <c r="F62" s="30" t="str">
        <f t="shared" si="41"/>
        <v>32</v>
      </c>
      <c r="G62" s="26" t="str">
        <f t="shared" si="42"/>
        <v>323</v>
      </c>
      <c r="H62" s="212" t="s">
        <v>126</v>
      </c>
      <c r="I62" s="86" t="s">
        <v>128</v>
      </c>
      <c r="J62" s="87" t="e">
        <f>SUMIFS([2]Anl_20250630!$K$6:$K$173,[2]Anl_20250630!$A$6:$A$173,A62)</f>
        <v>#VALUE!</v>
      </c>
      <c r="K62" s="87">
        <f>_xlfn.IFNA(VLOOKUP(T62,[3]Rashodi_2026_RI!$A$18:$Z$10000,14,FALSE),0)</f>
        <v>100000</v>
      </c>
      <c r="L62" s="87">
        <f>_xlfn.IFNA(VLOOKUP(T62,[3]Rashodi_2026_RI!$A$18:$Z$10000,15,FALSE),0)</f>
        <v>32213.32</v>
      </c>
      <c r="M62" s="87" t="e">
        <f t="shared" si="0"/>
        <v>#VALUE!</v>
      </c>
      <c r="N62" s="87">
        <f t="shared" si="1"/>
        <v>32.213320000000003</v>
      </c>
      <c r="O62" s="31"/>
      <c r="T62" s="25" t="str">
        <f t="shared" si="5"/>
        <v>A2124011123239</v>
      </c>
    </row>
    <row r="63" spans="1:20" ht="30" hidden="1" customHeight="1" outlineLevel="1" x14ac:dyDescent="0.2">
      <c r="A63" s="25" t="str">
        <f t="shared" si="43"/>
        <v>A2124011123291</v>
      </c>
      <c r="B63" s="30" t="s">
        <v>472</v>
      </c>
      <c r="C63" s="26" t="s">
        <v>327</v>
      </c>
      <c r="D63" s="30">
        <v>112</v>
      </c>
      <c r="E63" s="30" t="str">
        <f t="shared" si="40"/>
        <v>3</v>
      </c>
      <c r="F63" s="30" t="str">
        <f t="shared" si="41"/>
        <v>32</v>
      </c>
      <c r="G63" s="26" t="str">
        <f t="shared" si="42"/>
        <v>329</v>
      </c>
      <c r="H63" s="86" t="s">
        <v>107</v>
      </c>
      <c r="I63" s="86" t="s">
        <v>109</v>
      </c>
      <c r="J63" s="87" t="e">
        <f>SUMIFS([2]Anl_20250630!$K$6:$K$173,[2]Anl_20250630!$A$6:$A$173,A63)</f>
        <v>#VALUE!</v>
      </c>
      <c r="K63" s="87">
        <f>_xlfn.IFNA(VLOOKUP(T63,[3]Rashodi_2026_RI!$A$18:$Z$10000,14,FALSE),0)</f>
        <v>11000</v>
      </c>
      <c r="L63" s="87">
        <f>_xlfn.IFNA(VLOOKUP(T63,[3]Rashodi_2026_RI!$A$18:$Z$10000,15,FALSE),0)</f>
        <v>2792.2000000000003</v>
      </c>
      <c r="M63" s="87" t="e">
        <f t="shared" si="0"/>
        <v>#VALUE!</v>
      </c>
      <c r="N63" s="87">
        <f t="shared" si="1"/>
        <v>25.383636363636363</v>
      </c>
      <c r="O63" s="31"/>
      <c r="T63" s="25" t="str">
        <f t="shared" si="5"/>
        <v>A2124011123291</v>
      </c>
    </row>
    <row r="64" spans="1:20" ht="20.100000000000001" hidden="1" customHeight="1" outlineLevel="1" x14ac:dyDescent="0.2">
      <c r="A64" s="25" t="str">
        <f t="shared" si="43"/>
        <v>A2124011123292</v>
      </c>
      <c r="B64" s="30" t="s">
        <v>472</v>
      </c>
      <c r="C64" s="26" t="s">
        <v>327</v>
      </c>
      <c r="D64" s="30">
        <v>112</v>
      </c>
      <c r="E64" s="30" t="str">
        <f t="shared" si="40"/>
        <v>3</v>
      </c>
      <c r="F64" s="30" t="str">
        <f t="shared" si="41"/>
        <v>32</v>
      </c>
      <c r="G64" s="26" t="str">
        <f t="shared" si="42"/>
        <v>329</v>
      </c>
      <c r="H64" s="86" t="s">
        <v>110</v>
      </c>
      <c r="I64" s="86" t="s">
        <v>112</v>
      </c>
      <c r="J64" s="87" t="e">
        <f>SUMIFS([2]Anl_20250630!$K$6:$K$173,[2]Anl_20250630!$A$6:$A$173,A64)</f>
        <v>#VALUE!</v>
      </c>
      <c r="K64" s="87">
        <f>_xlfn.IFNA(VLOOKUP(T64,[3]Rashodi_2026_RI!$A$18:$Z$10000,14,FALSE),0)</f>
        <v>25000</v>
      </c>
      <c r="L64" s="87">
        <f>_xlfn.IFNA(VLOOKUP(T64,[3]Rashodi_2026_RI!$A$18:$Z$10000,15,FALSE),0)</f>
        <v>9130</v>
      </c>
      <c r="M64" s="87" t="e">
        <f t="shared" si="0"/>
        <v>#VALUE!</v>
      </c>
      <c r="N64" s="87">
        <f t="shared" si="1"/>
        <v>36.520000000000003</v>
      </c>
      <c r="O64" s="31"/>
      <c r="T64" s="25" t="str">
        <f t="shared" si="5"/>
        <v>A2124011123292</v>
      </c>
    </row>
    <row r="65" spans="1:20" ht="20.100000000000001" hidden="1" customHeight="1" outlineLevel="1" x14ac:dyDescent="0.2">
      <c r="A65" s="25" t="str">
        <f t="shared" si="43"/>
        <v>A2124011123294</v>
      </c>
      <c r="B65" s="30" t="s">
        <v>472</v>
      </c>
      <c r="C65" s="26" t="s">
        <v>327</v>
      </c>
      <c r="D65" s="30">
        <v>112</v>
      </c>
      <c r="E65" s="30" t="str">
        <f t="shared" si="40"/>
        <v>3</v>
      </c>
      <c r="F65" s="30" t="str">
        <f t="shared" si="41"/>
        <v>32</v>
      </c>
      <c r="G65" s="26" t="str">
        <f t="shared" si="42"/>
        <v>329</v>
      </c>
      <c r="H65" s="86" t="s">
        <v>113</v>
      </c>
      <c r="I65" s="86" t="s">
        <v>115</v>
      </c>
      <c r="J65" s="87" t="e">
        <f>SUMIFS([2]Anl_20250630!$K$6:$K$173,[2]Anl_20250630!$A$6:$A$173,A65)</f>
        <v>#VALUE!</v>
      </c>
      <c r="K65" s="87">
        <f>_xlfn.IFNA(VLOOKUP(T65,[3]Rashodi_2026_RI!$A$18:$Z$10000,14,FALSE),0)</f>
        <v>0</v>
      </c>
      <c r="L65" s="87">
        <f>_xlfn.IFNA(VLOOKUP(T65,[3]Rashodi_2026_RI!$A$18:$Z$10000,15,FALSE),0)</f>
        <v>0</v>
      </c>
      <c r="M65" s="87" t="e">
        <f t="shared" si="0"/>
        <v>#VALUE!</v>
      </c>
      <c r="N65" s="87">
        <f t="shared" si="1"/>
        <v>0</v>
      </c>
      <c r="O65" s="31"/>
      <c r="T65" s="25" t="str">
        <f t="shared" si="5"/>
        <v>A2124011123294</v>
      </c>
    </row>
    <row r="66" spans="1:20" ht="20.100000000000001" hidden="1" customHeight="1" outlineLevel="1" x14ac:dyDescent="0.2">
      <c r="A66" s="25" t="str">
        <f t="shared" si="43"/>
        <v>A2124011123295</v>
      </c>
      <c r="B66" s="30" t="s">
        <v>472</v>
      </c>
      <c r="C66" s="26" t="s">
        <v>327</v>
      </c>
      <c r="D66" s="30">
        <v>112</v>
      </c>
      <c r="E66" s="30" t="str">
        <f t="shared" si="40"/>
        <v>3</v>
      </c>
      <c r="F66" s="30" t="str">
        <f t="shared" si="41"/>
        <v>32</v>
      </c>
      <c r="G66" s="26" t="str">
        <f t="shared" si="42"/>
        <v>329</v>
      </c>
      <c r="H66" s="86" t="s">
        <v>116</v>
      </c>
      <c r="I66" s="86" t="s">
        <v>118</v>
      </c>
      <c r="J66" s="87" t="e">
        <f>SUMIFS([2]Anl_20250630!$K$6:$K$173,[2]Anl_20250630!$A$6:$A$173,A66)</f>
        <v>#VALUE!</v>
      </c>
      <c r="K66" s="87">
        <f>_xlfn.IFNA(VLOOKUP(T66,[3]Rashodi_2026_RI!$A$18:$Z$10000,14,FALSE),0)</f>
        <v>0</v>
      </c>
      <c r="L66" s="87">
        <f>_xlfn.IFNA(VLOOKUP(T66,[3]Rashodi_2026_RI!$A$18:$Z$10000,15,FALSE),0)</f>
        <v>0</v>
      </c>
      <c r="M66" s="87" t="e">
        <f t="shared" si="0"/>
        <v>#VALUE!</v>
      </c>
      <c r="N66" s="87">
        <f t="shared" si="1"/>
        <v>0</v>
      </c>
      <c r="O66" s="31"/>
      <c r="T66" s="25" t="str">
        <f t="shared" si="5"/>
        <v>A2124011123295</v>
      </c>
    </row>
    <row r="67" spans="1:20" ht="20.100000000000001" hidden="1" customHeight="1" outlineLevel="1" x14ac:dyDescent="0.2">
      <c r="A67" s="25" t="str">
        <f t="shared" si="43"/>
        <v>A2124011123431</v>
      </c>
      <c r="B67" s="30" t="s">
        <v>472</v>
      </c>
      <c r="C67" s="26" t="s">
        <v>327</v>
      </c>
      <c r="D67" s="30">
        <v>112</v>
      </c>
      <c r="E67" s="30" t="str">
        <f t="shared" si="40"/>
        <v>3</v>
      </c>
      <c r="F67" s="30" t="str">
        <f t="shared" si="41"/>
        <v>34</v>
      </c>
      <c r="G67" s="26" t="str">
        <f t="shared" si="42"/>
        <v>343</v>
      </c>
      <c r="H67" s="86" t="s">
        <v>119</v>
      </c>
      <c r="I67" s="86" t="s">
        <v>121</v>
      </c>
      <c r="J67" s="87" t="e">
        <f>SUMIFS([2]Anl_20250630!$K$6:$K$173,[2]Anl_20250630!$A$6:$A$173,A67)</f>
        <v>#VALUE!</v>
      </c>
      <c r="K67" s="87">
        <f>_xlfn.IFNA(VLOOKUP(T67,[3]Rashodi_2026_RI!$A$18:$Z$10000,14,FALSE),0)</f>
        <v>5000</v>
      </c>
      <c r="L67" s="87">
        <f>_xlfn.IFNA(VLOOKUP(T67,[3]Rashodi_2026_RI!$A$18:$Z$10000,15,FALSE),0)</f>
        <v>0</v>
      </c>
      <c r="M67" s="87" t="e">
        <f t="shared" si="0"/>
        <v>#VALUE!</v>
      </c>
      <c r="N67" s="87">
        <f t="shared" si="1"/>
        <v>0</v>
      </c>
      <c r="O67" s="31"/>
      <c r="T67" s="25" t="str">
        <f t="shared" si="5"/>
        <v>A2124011123431</v>
      </c>
    </row>
    <row r="68" spans="1:20" ht="30" hidden="1" customHeight="1" outlineLevel="1" x14ac:dyDescent="0.2">
      <c r="A68" s="25" t="str">
        <f t="shared" si="43"/>
        <v>A2124011123694</v>
      </c>
      <c r="B68" s="30" t="s">
        <v>472</v>
      </c>
      <c r="C68" s="26" t="s">
        <v>327</v>
      </c>
      <c r="D68" s="30">
        <v>112</v>
      </c>
      <c r="E68" s="30" t="str">
        <f t="shared" si="40"/>
        <v>3</v>
      </c>
      <c r="F68" s="30" t="str">
        <f t="shared" si="41"/>
        <v>36</v>
      </c>
      <c r="G68" s="26" t="str">
        <f t="shared" si="42"/>
        <v>369</v>
      </c>
      <c r="H68" s="86" t="s">
        <v>122</v>
      </c>
      <c r="I68" s="86" t="s">
        <v>124</v>
      </c>
      <c r="J68" s="87" t="e">
        <f>SUMIFS([2]Anl_20250630!$K$6:$K$173,[2]Anl_20250630!$A$6:$A$173,A68)</f>
        <v>#VALUE!</v>
      </c>
      <c r="K68" s="87">
        <f>_xlfn.IFNA(VLOOKUP(T68,[3]Rashodi_2026_RI!$A$18:$Z$10000,14,FALSE),0)</f>
        <v>0</v>
      </c>
      <c r="L68" s="87">
        <f>_xlfn.IFNA(VLOOKUP(T68,[3]Rashodi_2026_RI!$A$18:$Z$10000,15,FALSE),0)</f>
        <v>0</v>
      </c>
      <c r="M68" s="87" t="e">
        <f t="shared" si="0"/>
        <v>#VALUE!</v>
      </c>
      <c r="N68" s="87">
        <f t="shared" si="1"/>
        <v>0</v>
      </c>
      <c r="O68" s="31"/>
      <c r="T68" s="25" t="str">
        <f t="shared" si="5"/>
        <v>A2124011123694</v>
      </c>
    </row>
    <row r="69" spans="1:20" ht="24.95" customHeight="1" collapsed="1" x14ac:dyDescent="0.2">
      <c r="B69" s="30"/>
      <c r="H69" s="230" t="s">
        <v>125</v>
      </c>
      <c r="I69" s="230"/>
      <c r="J69" s="79" t="e">
        <f>SUMIFS(J70:J270,$C70:$C270,"A212401",$D70:$D270,"311")</f>
        <v>#VALUE!</v>
      </c>
      <c r="K69" s="79">
        <f>SUMIFS(K70:K270,$C70:$C270,"A212401",$D70:$D270,"311")</f>
        <v>18300</v>
      </c>
      <c r="L69" s="79">
        <f>SUMIFS(L70:L270,$C70:$C270,"A212401",$D70:$D270,"311")</f>
        <v>1492</v>
      </c>
      <c r="M69" s="79" t="e">
        <f t="shared" si="0"/>
        <v>#VALUE!</v>
      </c>
      <c r="N69" s="79">
        <f t="shared" si="1"/>
        <v>8.1530054644808736</v>
      </c>
    </row>
    <row r="70" spans="1:20" ht="20.100000000000001" hidden="1" customHeight="1" outlineLevel="1" x14ac:dyDescent="0.2">
      <c r="A70" s="25" t="str">
        <f t="shared" si="43"/>
        <v>A2124013113239</v>
      </c>
      <c r="B70" s="30" t="s">
        <v>472</v>
      </c>
      <c r="C70" s="26" t="s">
        <v>327</v>
      </c>
      <c r="D70" s="30">
        <v>311</v>
      </c>
      <c r="E70" s="30" t="str">
        <f>LEFT(H70,1)</f>
        <v>3</v>
      </c>
      <c r="F70" s="30" t="str">
        <f>LEFT(H70,2)</f>
        <v>32</v>
      </c>
      <c r="G70" s="26" t="str">
        <f t="shared" ref="G70:G141" si="44">LEFT(H70,3)</f>
        <v>323</v>
      </c>
      <c r="H70" s="86" t="s">
        <v>126</v>
      </c>
      <c r="I70" s="86" t="s">
        <v>128</v>
      </c>
      <c r="J70" s="87" t="e">
        <f>SUMIFS([2]Anl_20250630!$K$6:$K$173,[2]Anl_20250630!$A$6:$A$173,A70)</f>
        <v>#VALUE!</v>
      </c>
      <c r="K70" s="87">
        <f>_xlfn.IFNA(VLOOKUP(T70,[3]Rashodi_2026_RI!$A$18:$Z$10000,14,FALSE),99999999)</f>
        <v>18300</v>
      </c>
      <c r="L70" s="87">
        <f>_xlfn.IFNA(VLOOKUP(T70,[3]Rashodi_2026_RI!$A$18:$Z$10000,15,FALSE),99999999)</f>
        <v>1492</v>
      </c>
      <c r="M70" s="87" t="e">
        <f t="shared" si="0"/>
        <v>#VALUE!</v>
      </c>
      <c r="N70" s="87">
        <f t="shared" si="1"/>
        <v>8.1530054644808736</v>
      </c>
      <c r="O70" s="31"/>
      <c r="T70" s="25" t="str">
        <f t="shared" si="5"/>
        <v>A2124013113239</v>
      </c>
    </row>
    <row r="71" spans="1:20" ht="24.95" customHeight="1" collapsed="1" x14ac:dyDescent="0.2">
      <c r="B71" s="30" t="s">
        <v>472</v>
      </c>
      <c r="H71" s="230" t="s">
        <v>129</v>
      </c>
      <c r="I71" s="230"/>
      <c r="J71" s="79" t="e">
        <f>SUMIFS(J72:J272,$C72:$C272,"A212401",$D72:$D272,"431")</f>
        <v>#VALUE!</v>
      </c>
      <c r="K71" s="79">
        <f>SUMIFS(K72:K272,$C72:$C272,"A212401",$D72:$D272,"431")</f>
        <v>954200</v>
      </c>
      <c r="L71" s="79">
        <f>SUMIFS(L72:L272,$C72:$C272,"A212401",$D72:$D272,"431")</f>
        <v>359923.14</v>
      </c>
      <c r="M71" s="79" t="e">
        <f t="shared" si="0"/>
        <v>#VALUE!</v>
      </c>
      <c r="N71" s="79">
        <f t="shared" si="1"/>
        <v>37.719884720184446</v>
      </c>
    </row>
    <row r="72" spans="1:20" ht="20.100000000000001" hidden="1" customHeight="1" outlineLevel="1" x14ac:dyDescent="0.2">
      <c r="A72" s="25" t="str">
        <f t="shared" si="43"/>
        <v>A2124014313211</v>
      </c>
      <c r="B72" s="30" t="s">
        <v>472</v>
      </c>
      <c r="C72" s="26" t="s">
        <v>327</v>
      </c>
      <c r="D72" s="30">
        <v>431</v>
      </c>
      <c r="E72" s="30" t="str">
        <f t="shared" ref="E72:E98" si="45">LEFT(H72,1)</f>
        <v>3</v>
      </c>
      <c r="F72" s="30" t="str">
        <f t="shared" ref="F72:F98" si="46">LEFT(H72,2)</f>
        <v>32</v>
      </c>
      <c r="G72" s="26" t="str">
        <f t="shared" si="44"/>
        <v>321</v>
      </c>
      <c r="H72" s="86" t="s">
        <v>130</v>
      </c>
      <c r="I72" s="86" t="s">
        <v>132</v>
      </c>
      <c r="J72" s="87" t="e">
        <f>SUMIFS([2]Anl_20250630!$K$6:$K$173,[2]Anl_20250630!$A$6:$A$173,A72)</f>
        <v>#VALUE!</v>
      </c>
      <c r="K72" s="87">
        <f>_xlfn.IFNA(VLOOKUP(T72,[3]Rashodi_2026_RI!$A$18:$Z$10000,14,FALSE),0)</f>
        <v>22000</v>
      </c>
      <c r="L72" s="87">
        <f>_xlfn.IFNA(VLOOKUP(T72,[3]Rashodi_2026_RI!$A$18:$Z$10000,15,FALSE),0)</f>
        <v>8658.1299999999992</v>
      </c>
      <c r="M72" s="87" t="e">
        <f t="shared" si="0"/>
        <v>#VALUE!</v>
      </c>
      <c r="N72" s="87">
        <f t="shared" si="1"/>
        <v>39.355136363636362</v>
      </c>
      <c r="O72" s="31"/>
      <c r="T72" s="25" t="str">
        <f t="shared" si="5"/>
        <v>A2124014313211</v>
      </c>
    </row>
    <row r="73" spans="1:20" ht="20.100000000000001" hidden="1" customHeight="1" outlineLevel="1" x14ac:dyDescent="0.2">
      <c r="A73" s="25" t="str">
        <f t="shared" si="43"/>
        <v>A2124014313212</v>
      </c>
      <c r="B73" s="30" t="s">
        <v>472</v>
      </c>
      <c r="C73" s="26" t="s">
        <v>327</v>
      </c>
      <c r="D73" s="30">
        <v>431</v>
      </c>
      <c r="E73" s="30" t="str">
        <f>LEFT(H73,1)</f>
        <v>3</v>
      </c>
      <c r="F73" s="30" t="str">
        <f>LEFT(H73,2)</f>
        <v>32</v>
      </c>
      <c r="G73" s="26" t="str">
        <f>LEFT(H73,3)</f>
        <v>321</v>
      </c>
      <c r="H73" s="95">
        <v>3212</v>
      </c>
      <c r="I73" s="86" t="s">
        <v>68</v>
      </c>
      <c r="J73" s="87" t="e">
        <f>SUMIFS([2]Anl_20250630!$K$6:$K$173,[2]Anl_20250630!$A$6:$A$173,A73)</f>
        <v>#VALUE!</v>
      </c>
      <c r="K73" s="87">
        <f>_xlfn.IFNA(VLOOKUP(T73,[3]Rashodi_2026_RI!$A$18:$Z$10000,14,FALSE),0)</f>
        <v>0</v>
      </c>
      <c r="L73" s="87">
        <f>_xlfn.IFNA(VLOOKUP(T73,[3]Rashodi_2026_RI!$A$18:$Z$10000,15,FALSE),0)</f>
        <v>0</v>
      </c>
      <c r="M73" s="87" t="e">
        <f t="shared" si="0"/>
        <v>#VALUE!</v>
      </c>
      <c r="N73" s="87">
        <f t="shared" si="1"/>
        <v>0</v>
      </c>
      <c r="O73" s="31"/>
      <c r="T73" s="25" t="str">
        <f t="shared" si="5"/>
        <v>A2124014313212</v>
      </c>
    </row>
    <row r="74" spans="1:20" ht="20.100000000000001" hidden="1" customHeight="1" outlineLevel="1" x14ac:dyDescent="0.2">
      <c r="A74" s="25" t="str">
        <f t="shared" si="43"/>
        <v>A2124014313213</v>
      </c>
      <c r="B74" s="30" t="s">
        <v>472</v>
      </c>
      <c r="C74" s="26" t="s">
        <v>327</v>
      </c>
      <c r="D74" s="30">
        <v>431</v>
      </c>
      <c r="E74" s="30" t="str">
        <f t="shared" si="45"/>
        <v>3</v>
      </c>
      <c r="F74" s="30" t="str">
        <f t="shared" si="46"/>
        <v>32</v>
      </c>
      <c r="G74" s="26" t="str">
        <f t="shared" si="44"/>
        <v>321</v>
      </c>
      <c r="H74" s="86" t="s">
        <v>69</v>
      </c>
      <c r="I74" s="86" t="s">
        <v>71</v>
      </c>
      <c r="J74" s="87" t="e">
        <f>SUMIFS([2]Anl_20250630!$K$6:$K$173,[2]Anl_20250630!$A$6:$A$173,A74)</f>
        <v>#VALUE!</v>
      </c>
      <c r="K74" s="87">
        <f>_xlfn.IFNA(VLOOKUP(T74,[3]Rashodi_2026_RI!$A$18:$Z$10000,14,FALSE),0)</f>
        <v>5000</v>
      </c>
      <c r="L74" s="87">
        <f>_xlfn.IFNA(VLOOKUP(T74,[3]Rashodi_2026_RI!$A$18:$Z$10000,15,FALSE),0)</f>
        <v>623.79999999999995</v>
      </c>
      <c r="M74" s="87" t="e">
        <f t="shared" si="0"/>
        <v>#VALUE!</v>
      </c>
      <c r="N74" s="87">
        <f t="shared" si="1"/>
        <v>12.475999999999999</v>
      </c>
      <c r="O74" s="31"/>
      <c r="T74" s="25" t="str">
        <f t="shared" ref="T74:T98" si="47">CONCATENATE(C74,D74,H74)</f>
        <v>A2124014313213</v>
      </c>
    </row>
    <row r="75" spans="1:20" ht="20.100000000000001" hidden="1" customHeight="1" outlineLevel="1" x14ac:dyDescent="0.2">
      <c r="A75" s="25" t="str">
        <f t="shared" si="43"/>
        <v>A2124014313221</v>
      </c>
      <c r="B75" s="30" t="s">
        <v>472</v>
      </c>
      <c r="C75" s="26" t="s">
        <v>327</v>
      </c>
      <c r="D75" s="30">
        <v>431</v>
      </c>
      <c r="E75" s="30" t="str">
        <f t="shared" si="45"/>
        <v>3</v>
      </c>
      <c r="F75" s="30" t="str">
        <f t="shared" si="46"/>
        <v>32</v>
      </c>
      <c r="G75" s="26" t="str">
        <f t="shared" si="44"/>
        <v>322</v>
      </c>
      <c r="H75" s="86" t="s">
        <v>72</v>
      </c>
      <c r="I75" s="86" t="s">
        <v>74</v>
      </c>
      <c r="J75" s="87" t="e">
        <f>SUMIFS([2]Anl_20250630!$K$6:$K$173,[2]Anl_20250630!$A$6:$A$173,A75)</f>
        <v>#VALUE!</v>
      </c>
      <c r="K75" s="87">
        <f>_xlfn.IFNA(VLOOKUP(T75,[3]Rashodi_2026_RI!$A$18:$Z$10000,14,FALSE),0)</f>
        <v>73000</v>
      </c>
      <c r="L75" s="87">
        <f>_xlfn.IFNA(VLOOKUP(T75,[3]Rashodi_2026_RI!$A$18:$Z$10000,15,FALSE),0)</f>
        <v>22442.54</v>
      </c>
      <c r="M75" s="87" t="e">
        <f t="shared" si="0"/>
        <v>#VALUE!</v>
      </c>
      <c r="N75" s="87">
        <f t="shared" si="1"/>
        <v>30.743205479452058</v>
      </c>
      <c r="O75" s="31"/>
      <c r="T75" s="25" t="str">
        <f t="shared" si="47"/>
        <v>A2124014313221</v>
      </c>
    </row>
    <row r="76" spans="1:20" ht="20.100000000000001" hidden="1" customHeight="1" outlineLevel="1" x14ac:dyDescent="0.2">
      <c r="A76" s="25" t="str">
        <f t="shared" si="43"/>
        <v>A2124014313222</v>
      </c>
      <c r="B76" s="30" t="s">
        <v>472</v>
      </c>
      <c r="C76" s="26" t="s">
        <v>327</v>
      </c>
      <c r="D76" s="30">
        <v>431</v>
      </c>
      <c r="E76" s="30" t="str">
        <f t="shared" si="45"/>
        <v>3</v>
      </c>
      <c r="F76" s="30" t="str">
        <f t="shared" si="46"/>
        <v>32</v>
      </c>
      <c r="G76" s="26" t="str">
        <f t="shared" si="44"/>
        <v>322</v>
      </c>
      <c r="H76" s="86" t="s">
        <v>75</v>
      </c>
      <c r="I76" s="86" t="s">
        <v>77</v>
      </c>
      <c r="J76" s="87" t="e">
        <f>SUMIFS([2]Anl_20250630!$K$6:$K$173,[2]Anl_20250630!$A$6:$A$173,A76)</f>
        <v>#VALUE!</v>
      </c>
      <c r="K76" s="87">
        <f>_xlfn.IFNA(VLOOKUP(T76,[3]Rashodi_2026_RI!$A$18:$Z$10000,14,FALSE),0)</f>
        <v>54000</v>
      </c>
      <c r="L76" s="87">
        <f>_xlfn.IFNA(VLOOKUP(T76,[3]Rashodi_2026_RI!$A$18:$Z$10000,15,FALSE),0)</f>
        <v>16053.87</v>
      </c>
      <c r="M76" s="87" t="e">
        <f t="shared" si="0"/>
        <v>#VALUE!</v>
      </c>
      <c r="N76" s="87">
        <f t="shared" si="1"/>
        <v>29.729388888888892</v>
      </c>
      <c r="O76" s="31"/>
      <c r="T76" s="25" t="str">
        <f t="shared" si="47"/>
        <v>A2124014313222</v>
      </c>
    </row>
    <row r="77" spans="1:20" ht="20.100000000000001" hidden="1" customHeight="1" outlineLevel="1" x14ac:dyDescent="0.2">
      <c r="A77" s="25" t="str">
        <f t="shared" si="43"/>
        <v>A2124014313223</v>
      </c>
      <c r="B77" s="30" t="s">
        <v>472</v>
      </c>
      <c r="C77" s="26" t="s">
        <v>327</v>
      </c>
      <c r="D77" s="30">
        <v>431</v>
      </c>
      <c r="E77" s="30" t="str">
        <f>LEFT(H77,1)</f>
        <v>3</v>
      </c>
      <c r="F77" s="30" t="str">
        <f>LEFT(H77,2)</f>
        <v>32</v>
      </c>
      <c r="G77" s="26" t="str">
        <f>LEFT(H77,3)</f>
        <v>322</v>
      </c>
      <c r="H77" s="95">
        <v>3223</v>
      </c>
      <c r="I77" s="86" t="s">
        <v>80</v>
      </c>
      <c r="J77" s="87" t="e">
        <f>SUMIFS([2]Anl_20250630!$K$6:$K$173,[2]Anl_20250630!$A$6:$A$173,A77)</f>
        <v>#VALUE!</v>
      </c>
      <c r="K77" s="87">
        <f>_xlfn.IFNA(VLOOKUP(T77,[3]Rashodi_2026_RI!$A$18:$Z$10000,14,FALSE),0)</f>
        <v>0</v>
      </c>
      <c r="L77" s="87">
        <f>_xlfn.IFNA(VLOOKUP(T77,[3]Rashodi_2026_RI!$A$18:$Z$10000,15,FALSE),0)</f>
        <v>0</v>
      </c>
      <c r="M77" s="87" t="e">
        <f t="shared" si="0"/>
        <v>#VALUE!</v>
      </c>
      <c r="N77" s="87">
        <f t="shared" si="1"/>
        <v>0</v>
      </c>
      <c r="O77" s="31"/>
      <c r="T77" s="25" t="str">
        <f t="shared" si="47"/>
        <v>A2124014313223</v>
      </c>
    </row>
    <row r="78" spans="1:20" ht="20.100000000000001" hidden="1" customHeight="1" outlineLevel="1" x14ac:dyDescent="0.2">
      <c r="A78" s="25" t="str">
        <f t="shared" si="43"/>
        <v>A2124014313224</v>
      </c>
      <c r="B78" s="30" t="s">
        <v>472</v>
      </c>
      <c r="C78" s="26" t="s">
        <v>327</v>
      </c>
      <c r="D78" s="30">
        <v>431</v>
      </c>
      <c r="E78" s="30" t="str">
        <f t="shared" si="45"/>
        <v>3</v>
      </c>
      <c r="F78" s="30" t="str">
        <f t="shared" si="46"/>
        <v>32</v>
      </c>
      <c r="G78" s="26" t="str">
        <f t="shared" si="44"/>
        <v>322</v>
      </c>
      <c r="H78" s="86" t="s">
        <v>81</v>
      </c>
      <c r="I78" s="86" t="s">
        <v>83</v>
      </c>
      <c r="J78" s="87" t="e">
        <f>SUMIFS([2]Anl_20250630!$K$6:$K$173,[2]Anl_20250630!$A$6:$A$173,A78)</f>
        <v>#VALUE!</v>
      </c>
      <c r="K78" s="87">
        <f>_xlfn.IFNA(VLOOKUP(T78,[3]Rashodi_2026_RI!$A$18:$Z$10000,14,FALSE),0)</f>
        <v>20000</v>
      </c>
      <c r="L78" s="87">
        <f>_xlfn.IFNA(VLOOKUP(T78,[3]Rashodi_2026_RI!$A$18:$Z$10000,15,FALSE),0)</f>
        <v>12257.66</v>
      </c>
      <c r="M78" s="87" t="e">
        <f t="shared" ref="M78:M141" si="48">IF(J78&lt;&gt;0,L78/J78*100,0)</f>
        <v>#VALUE!</v>
      </c>
      <c r="N78" s="87">
        <f t="shared" ref="N78:N141" si="49">IF(K78&lt;&gt;0,L78/K78*100,0)</f>
        <v>61.288299999999992</v>
      </c>
      <c r="O78" s="31"/>
      <c r="T78" s="25" t="str">
        <f t="shared" si="47"/>
        <v>A2124014313224</v>
      </c>
    </row>
    <row r="79" spans="1:20" ht="20.100000000000001" hidden="1" customHeight="1" outlineLevel="1" x14ac:dyDescent="0.2">
      <c r="A79" s="25" t="str">
        <f t="shared" si="43"/>
        <v>A2124014313225</v>
      </c>
      <c r="B79" s="30" t="s">
        <v>472</v>
      </c>
      <c r="C79" s="26" t="s">
        <v>327</v>
      </c>
      <c r="D79" s="30">
        <v>431</v>
      </c>
      <c r="E79" s="30" t="str">
        <f t="shared" si="45"/>
        <v>3</v>
      </c>
      <c r="F79" s="30" t="str">
        <f t="shared" si="46"/>
        <v>32</v>
      </c>
      <c r="G79" s="26" t="str">
        <f t="shared" si="44"/>
        <v>322</v>
      </c>
      <c r="H79" s="86" t="s">
        <v>84</v>
      </c>
      <c r="I79" s="86" t="s">
        <v>86</v>
      </c>
      <c r="J79" s="87" t="e">
        <f>SUMIFS([2]Anl_20250630!$K$6:$K$173,[2]Anl_20250630!$A$6:$A$173,A79)</f>
        <v>#VALUE!</v>
      </c>
      <c r="K79" s="87">
        <f>_xlfn.IFNA(VLOOKUP(T79,[3]Rashodi_2026_RI!$A$18:$Z$10000,14,FALSE),0)</f>
        <v>5000</v>
      </c>
      <c r="L79" s="87">
        <f>_xlfn.IFNA(VLOOKUP(T79,[3]Rashodi_2026_RI!$A$18:$Z$10000,15,FALSE),0)</f>
        <v>1640.09</v>
      </c>
      <c r="M79" s="87" t="e">
        <f t="shared" si="48"/>
        <v>#VALUE!</v>
      </c>
      <c r="N79" s="87">
        <f t="shared" si="49"/>
        <v>32.8018</v>
      </c>
      <c r="O79" s="31"/>
      <c r="T79" s="25" t="str">
        <f t="shared" si="47"/>
        <v>A2124014313225</v>
      </c>
    </row>
    <row r="80" spans="1:20" ht="20.100000000000001" hidden="1" customHeight="1" outlineLevel="1" x14ac:dyDescent="0.2">
      <c r="A80" s="25" t="str">
        <f t="shared" si="43"/>
        <v>A2124014313227</v>
      </c>
      <c r="B80" s="30" t="s">
        <v>472</v>
      </c>
      <c r="C80" s="26" t="s">
        <v>327</v>
      </c>
      <c r="D80" s="30">
        <v>431</v>
      </c>
      <c r="E80" s="30" t="str">
        <f t="shared" si="45"/>
        <v>3</v>
      </c>
      <c r="F80" s="30" t="str">
        <f t="shared" si="46"/>
        <v>32</v>
      </c>
      <c r="G80" s="26" t="str">
        <f t="shared" si="44"/>
        <v>322</v>
      </c>
      <c r="H80" s="86" t="s">
        <v>138</v>
      </c>
      <c r="I80" s="86" t="s">
        <v>140</v>
      </c>
      <c r="J80" s="87" t="e">
        <f>SUMIFS([2]Anl_20250630!$K$6:$K$173,[2]Anl_20250630!$A$6:$A$173,A80)</f>
        <v>#VALUE!</v>
      </c>
      <c r="K80" s="87">
        <f>_xlfn.IFNA(VLOOKUP(T80,[3]Rashodi_2026_RI!$A$18:$Z$10000,14,FALSE),0)</f>
        <v>500</v>
      </c>
      <c r="L80" s="87">
        <f>_xlfn.IFNA(VLOOKUP(T80,[3]Rashodi_2026_RI!$A$18:$Z$10000,15,FALSE),0)</f>
        <v>956.58</v>
      </c>
      <c r="M80" s="87" t="e">
        <f t="shared" si="48"/>
        <v>#VALUE!</v>
      </c>
      <c r="N80" s="87">
        <f t="shared" si="49"/>
        <v>191.316</v>
      </c>
      <c r="O80" s="31"/>
      <c r="T80" s="25" t="str">
        <f t="shared" si="47"/>
        <v>A2124014313227</v>
      </c>
    </row>
    <row r="81" spans="1:20" ht="20.100000000000001" hidden="1" customHeight="1" outlineLevel="1" x14ac:dyDescent="0.2">
      <c r="A81" s="25" t="str">
        <f t="shared" si="43"/>
        <v>A2124014313231</v>
      </c>
      <c r="B81" s="30" t="s">
        <v>472</v>
      </c>
      <c r="C81" s="26" t="s">
        <v>327</v>
      </c>
      <c r="D81" s="30">
        <v>431</v>
      </c>
      <c r="E81" s="30" t="str">
        <f t="shared" si="45"/>
        <v>3</v>
      </c>
      <c r="F81" s="30" t="str">
        <f t="shared" si="46"/>
        <v>32</v>
      </c>
      <c r="G81" s="26" t="str">
        <f t="shared" si="44"/>
        <v>323</v>
      </c>
      <c r="H81" s="86" t="s">
        <v>87</v>
      </c>
      <c r="I81" s="86" t="s">
        <v>89</v>
      </c>
      <c r="J81" s="87" t="e">
        <f>SUMIFS([2]Anl_20250630!$K$6:$K$173,[2]Anl_20250630!$A$6:$A$173,A81)</f>
        <v>#VALUE!</v>
      </c>
      <c r="K81" s="87">
        <f>_xlfn.IFNA(VLOOKUP(T81,[3]Rashodi_2026_RI!$A$18:$Z$10000,14,FALSE),0)</f>
        <v>76000</v>
      </c>
      <c r="L81" s="87">
        <f>_xlfn.IFNA(VLOOKUP(T81,[3]Rashodi_2026_RI!$A$18:$Z$10000,15,FALSE),0)</f>
        <v>33265.32</v>
      </c>
      <c r="M81" s="87" t="e">
        <f t="shared" si="48"/>
        <v>#VALUE!</v>
      </c>
      <c r="N81" s="87">
        <f t="shared" si="49"/>
        <v>43.770157894736847</v>
      </c>
      <c r="O81" s="31"/>
      <c r="T81" s="25" t="str">
        <f t="shared" si="47"/>
        <v>A2124014313231</v>
      </c>
    </row>
    <row r="82" spans="1:20" ht="20.100000000000001" hidden="1" customHeight="1" outlineLevel="1" x14ac:dyDescent="0.2">
      <c r="A82" s="25" t="str">
        <f t="shared" si="43"/>
        <v>A2124014313232</v>
      </c>
      <c r="B82" s="30" t="s">
        <v>472</v>
      </c>
      <c r="C82" s="26" t="s">
        <v>327</v>
      </c>
      <c r="D82" s="30">
        <v>431</v>
      </c>
      <c r="E82" s="30" t="str">
        <f t="shared" si="45"/>
        <v>3</v>
      </c>
      <c r="F82" s="30" t="str">
        <f t="shared" si="46"/>
        <v>32</v>
      </c>
      <c r="G82" s="26" t="str">
        <f t="shared" si="44"/>
        <v>323</v>
      </c>
      <c r="H82" s="86" t="s">
        <v>38</v>
      </c>
      <c r="I82" s="86" t="s">
        <v>40</v>
      </c>
      <c r="J82" s="87" t="e">
        <f>SUMIFS([2]Anl_20250630!$K$6:$K$173,[2]Anl_20250630!$A$6:$A$173,A82)</f>
        <v>#VALUE!</v>
      </c>
      <c r="K82" s="87">
        <f>_xlfn.IFNA(VLOOKUP(T82,[3]Rashodi_2026_RI!$A$18:$Z$10000,14,FALSE),0)</f>
        <v>180000</v>
      </c>
      <c r="L82" s="87">
        <f>_xlfn.IFNA(VLOOKUP(T82,[3]Rashodi_2026_RI!$A$18:$Z$10000,15,FALSE),0)</f>
        <v>114394.24000000001</v>
      </c>
      <c r="M82" s="87" t="e">
        <f t="shared" si="48"/>
        <v>#VALUE!</v>
      </c>
      <c r="N82" s="87">
        <f t="shared" si="49"/>
        <v>63.552355555555565</v>
      </c>
      <c r="O82" s="31"/>
      <c r="T82" s="25" t="str">
        <f t="shared" si="47"/>
        <v>A2124014313232</v>
      </c>
    </row>
    <row r="83" spans="1:20" ht="20.100000000000001" hidden="1" customHeight="1" outlineLevel="1" x14ac:dyDescent="0.2">
      <c r="A83" s="25" t="str">
        <f t="shared" si="43"/>
        <v>A2124014313233</v>
      </c>
      <c r="B83" s="30" t="s">
        <v>472</v>
      </c>
      <c r="C83" s="26" t="s">
        <v>327</v>
      </c>
      <c r="D83" s="30">
        <v>431</v>
      </c>
      <c r="E83" s="30" t="str">
        <f t="shared" si="45"/>
        <v>3</v>
      </c>
      <c r="F83" s="30" t="str">
        <f t="shared" si="46"/>
        <v>32</v>
      </c>
      <c r="G83" s="26" t="str">
        <f t="shared" si="44"/>
        <v>323</v>
      </c>
      <c r="H83" s="86" t="s">
        <v>91</v>
      </c>
      <c r="I83" s="86" t="s">
        <v>93</v>
      </c>
      <c r="J83" s="87" t="e">
        <f>SUMIFS([2]Anl_20250630!$K$6:$K$173,[2]Anl_20250630!$A$6:$A$173,A83)</f>
        <v>#VALUE!</v>
      </c>
      <c r="K83" s="87">
        <f>_xlfn.IFNA(VLOOKUP(T83,[3]Rashodi_2026_RI!$A$18:$Z$10000,14,FALSE),0)</f>
        <v>18000</v>
      </c>
      <c r="L83" s="87">
        <f>_xlfn.IFNA(VLOOKUP(T83,[3]Rashodi_2026_RI!$A$18:$Z$10000,15,FALSE),0)</f>
        <v>0</v>
      </c>
      <c r="M83" s="87" t="e">
        <f t="shared" si="48"/>
        <v>#VALUE!</v>
      </c>
      <c r="N83" s="87">
        <f t="shared" si="49"/>
        <v>0</v>
      </c>
      <c r="O83" s="31"/>
      <c r="T83" s="25" t="str">
        <f t="shared" si="47"/>
        <v>A2124014313233</v>
      </c>
    </row>
    <row r="84" spans="1:20" ht="20.100000000000001" hidden="1" customHeight="1" outlineLevel="1" x14ac:dyDescent="0.2">
      <c r="A84" s="25" t="str">
        <f t="shared" si="43"/>
        <v>A2124014313234</v>
      </c>
      <c r="B84" s="30" t="s">
        <v>472</v>
      </c>
      <c r="C84" s="26" t="s">
        <v>327</v>
      </c>
      <c r="D84" s="30">
        <v>431</v>
      </c>
      <c r="E84" s="30" t="str">
        <f t="shared" si="45"/>
        <v>3</v>
      </c>
      <c r="F84" s="30" t="str">
        <f t="shared" si="46"/>
        <v>32</v>
      </c>
      <c r="G84" s="26" t="str">
        <f t="shared" si="44"/>
        <v>323</v>
      </c>
      <c r="H84" s="86" t="s">
        <v>94</v>
      </c>
      <c r="I84" s="86" t="s">
        <v>96</v>
      </c>
      <c r="J84" s="87" t="e">
        <f>SUMIFS([2]Anl_20250630!$K$6:$K$173,[2]Anl_20250630!$A$6:$A$173,A84)</f>
        <v>#VALUE!</v>
      </c>
      <c r="K84" s="87">
        <f>_xlfn.IFNA(VLOOKUP(T84,[3]Rashodi_2026_RI!$A$18:$Z$10000,14,FALSE),0)</f>
        <v>20000</v>
      </c>
      <c r="L84" s="87">
        <f>_xlfn.IFNA(VLOOKUP(T84,[3]Rashodi_2026_RI!$A$18:$Z$10000,15,FALSE),0)</f>
        <v>186.49999999998499</v>
      </c>
      <c r="M84" s="87" t="e">
        <f t="shared" si="48"/>
        <v>#VALUE!</v>
      </c>
      <c r="N84" s="87">
        <f t="shared" si="49"/>
        <v>0.93249999999992483</v>
      </c>
      <c r="O84" s="31"/>
      <c r="T84" s="25" t="str">
        <f t="shared" si="47"/>
        <v>A2124014313234</v>
      </c>
    </row>
    <row r="85" spans="1:20" ht="20.100000000000001" hidden="1" customHeight="1" outlineLevel="1" x14ac:dyDescent="0.2">
      <c r="A85" s="25" t="str">
        <f t="shared" si="43"/>
        <v>A2124014313235</v>
      </c>
      <c r="B85" s="30" t="s">
        <v>472</v>
      </c>
      <c r="C85" s="26" t="s">
        <v>327</v>
      </c>
      <c r="D85" s="30">
        <v>431</v>
      </c>
      <c r="E85" s="30" t="str">
        <f t="shared" si="45"/>
        <v>3</v>
      </c>
      <c r="F85" s="30" t="str">
        <f t="shared" si="46"/>
        <v>32</v>
      </c>
      <c r="G85" s="26" t="str">
        <f t="shared" si="44"/>
        <v>323</v>
      </c>
      <c r="H85" s="86" t="s">
        <v>97</v>
      </c>
      <c r="I85" s="86" t="s">
        <v>99</v>
      </c>
      <c r="J85" s="87" t="e">
        <f>SUMIFS([2]Anl_20250630!$K$6:$K$173,[2]Anl_20250630!$A$6:$A$173,A85)</f>
        <v>#VALUE!</v>
      </c>
      <c r="K85" s="87">
        <f>_xlfn.IFNA(VLOOKUP(T85,[3]Rashodi_2026_RI!$A$18:$Z$10000,14,FALSE),0)</f>
        <v>130000</v>
      </c>
      <c r="L85" s="87">
        <f>_xlfn.IFNA(VLOOKUP(T85,[3]Rashodi_2026_RI!$A$18:$Z$10000,15,FALSE),0)</f>
        <v>740</v>
      </c>
      <c r="M85" s="87" t="e">
        <f t="shared" si="48"/>
        <v>#VALUE!</v>
      </c>
      <c r="N85" s="87">
        <f t="shared" si="49"/>
        <v>0.56923076923076932</v>
      </c>
      <c r="O85" s="31"/>
      <c r="T85" s="25" t="str">
        <f t="shared" si="47"/>
        <v>A2124014313235</v>
      </c>
    </row>
    <row r="86" spans="1:20" ht="20.100000000000001" hidden="1" customHeight="1" outlineLevel="1" x14ac:dyDescent="0.2">
      <c r="A86" s="25" t="str">
        <f t="shared" si="43"/>
        <v>A2124014313236</v>
      </c>
      <c r="B86" s="30" t="s">
        <v>472</v>
      </c>
      <c r="C86" s="26" t="s">
        <v>327</v>
      </c>
      <c r="D86" s="30">
        <v>431</v>
      </c>
      <c r="E86" s="30" t="str">
        <f t="shared" si="45"/>
        <v>3</v>
      </c>
      <c r="F86" s="30" t="str">
        <f t="shared" si="46"/>
        <v>32</v>
      </c>
      <c r="G86" s="26" t="str">
        <f t="shared" si="44"/>
        <v>323</v>
      </c>
      <c r="H86" s="86" t="s">
        <v>100</v>
      </c>
      <c r="I86" s="86" t="s">
        <v>102</v>
      </c>
      <c r="J86" s="87" t="e">
        <f>SUMIFS([2]Anl_20250630!$K$6:$K$173,[2]Anl_20250630!$A$6:$A$173,A86)</f>
        <v>#VALUE!</v>
      </c>
      <c r="K86" s="87">
        <f>_xlfn.IFNA(VLOOKUP(T86,[3]Rashodi_2026_RI!$A$18:$Z$10000,14,FALSE),0)</f>
        <v>0</v>
      </c>
      <c r="L86" s="87">
        <f>_xlfn.IFNA(VLOOKUP(T86,[3]Rashodi_2026_RI!$A$18:$Z$10000,15,FALSE),0)</f>
        <v>0</v>
      </c>
      <c r="M86" s="87" t="e">
        <f t="shared" si="48"/>
        <v>#VALUE!</v>
      </c>
      <c r="N86" s="87">
        <f t="shared" si="49"/>
        <v>0</v>
      </c>
      <c r="O86" s="31"/>
      <c r="T86" s="25" t="str">
        <f t="shared" si="47"/>
        <v>A2124014313236</v>
      </c>
    </row>
    <row r="87" spans="1:20" ht="20.100000000000001" hidden="1" customHeight="1" outlineLevel="1" x14ac:dyDescent="0.2">
      <c r="A87" s="25" t="str">
        <f t="shared" si="43"/>
        <v>A2124014313237</v>
      </c>
      <c r="B87" s="30" t="s">
        <v>472</v>
      </c>
      <c r="C87" s="26" t="s">
        <v>327</v>
      </c>
      <c r="D87" s="30">
        <v>431</v>
      </c>
      <c r="E87" s="30" t="str">
        <f t="shared" si="45"/>
        <v>3</v>
      </c>
      <c r="F87" s="30" t="str">
        <f t="shared" si="46"/>
        <v>32</v>
      </c>
      <c r="G87" s="26" t="str">
        <f t="shared" si="44"/>
        <v>323</v>
      </c>
      <c r="H87" s="86" t="s">
        <v>41</v>
      </c>
      <c r="I87" s="86" t="s">
        <v>43</v>
      </c>
      <c r="J87" s="87" t="e">
        <f>SUMIFS([2]Anl_20250630!$K$6:$K$173,[2]Anl_20250630!$A$6:$A$173,A87)</f>
        <v>#VALUE!</v>
      </c>
      <c r="K87" s="87">
        <f>_xlfn.IFNA(VLOOKUP(T87,[3]Rashodi_2026_RI!$A$18:$Z$10000,14,FALSE),0)</f>
        <v>39000</v>
      </c>
      <c r="L87" s="87">
        <f>_xlfn.IFNA(VLOOKUP(T87,[3]Rashodi_2026_RI!$A$18:$Z$10000,15,FALSE),0)</f>
        <v>26336.26</v>
      </c>
      <c r="M87" s="87" t="e">
        <f t="shared" si="48"/>
        <v>#VALUE!</v>
      </c>
      <c r="N87" s="87">
        <f t="shared" si="49"/>
        <v>67.52887179487179</v>
      </c>
      <c r="O87" s="31"/>
      <c r="T87" s="25" t="str">
        <f t="shared" si="47"/>
        <v>A2124014313237</v>
      </c>
    </row>
    <row r="88" spans="1:20" ht="20.100000000000001" hidden="1" customHeight="1" outlineLevel="1" x14ac:dyDescent="0.2">
      <c r="A88" s="25" t="str">
        <f t="shared" si="43"/>
        <v>A2124014313238</v>
      </c>
      <c r="B88" s="30" t="s">
        <v>472</v>
      </c>
      <c r="C88" s="26" t="s">
        <v>327</v>
      </c>
      <c r="D88" s="30">
        <v>431</v>
      </c>
      <c r="E88" s="30" t="str">
        <f t="shared" si="45"/>
        <v>3</v>
      </c>
      <c r="F88" s="30" t="str">
        <f t="shared" si="46"/>
        <v>32</v>
      </c>
      <c r="G88" s="26" t="str">
        <f t="shared" si="44"/>
        <v>323</v>
      </c>
      <c r="H88" s="86" t="s">
        <v>104</v>
      </c>
      <c r="I88" s="86" t="s">
        <v>106</v>
      </c>
      <c r="J88" s="87" t="e">
        <f>SUMIFS([2]Anl_20250630!$K$6:$K$173,[2]Anl_20250630!$A$6:$A$173,A88)</f>
        <v>#VALUE!</v>
      </c>
      <c r="K88" s="87">
        <f>_xlfn.IFNA(VLOOKUP(T88,[3]Rashodi_2026_RI!$A$18:$Z$10000,14,FALSE),0)</f>
        <v>148000</v>
      </c>
      <c r="L88" s="87">
        <f>_xlfn.IFNA(VLOOKUP(T88,[3]Rashodi_2026_RI!$A$18:$Z$10000,15,FALSE),0)</f>
        <v>35469.14</v>
      </c>
      <c r="M88" s="87" t="e">
        <f t="shared" si="48"/>
        <v>#VALUE!</v>
      </c>
      <c r="N88" s="87">
        <f t="shared" si="49"/>
        <v>23.965635135135134</v>
      </c>
      <c r="O88" s="31"/>
      <c r="T88" s="25" t="str">
        <f t="shared" si="47"/>
        <v>A2124014313238</v>
      </c>
    </row>
    <row r="89" spans="1:20" ht="20.100000000000001" hidden="1" customHeight="1" outlineLevel="1" x14ac:dyDescent="0.2">
      <c r="A89" s="25" t="str">
        <f t="shared" si="43"/>
        <v>A2124014313239</v>
      </c>
      <c r="B89" s="30" t="s">
        <v>472</v>
      </c>
      <c r="C89" s="26" t="s">
        <v>327</v>
      </c>
      <c r="D89" s="30">
        <v>431</v>
      </c>
      <c r="E89" s="30" t="str">
        <f t="shared" si="45"/>
        <v>3</v>
      </c>
      <c r="F89" s="30" t="str">
        <f t="shared" si="46"/>
        <v>32</v>
      </c>
      <c r="G89" s="26" t="str">
        <f t="shared" si="44"/>
        <v>323</v>
      </c>
      <c r="H89" s="86" t="s">
        <v>126</v>
      </c>
      <c r="I89" s="86" t="s">
        <v>128</v>
      </c>
      <c r="J89" s="87" t="e">
        <f>SUMIFS([2]Anl_20250630!$K$6:$K$173,[2]Anl_20250630!$A$6:$A$173,A89)</f>
        <v>#VALUE!</v>
      </c>
      <c r="K89" s="87">
        <f>_xlfn.IFNA(VLOOKUP(T89,[3]Rashodi_2026_RI!$A$18:$Z$10000,14,FALSE),0)</f>
        <v>106200</v>
      </c>
      <c r="L89" s="87">
        <f>_xlfn.IFNA(VLOOKUP(T89,[3]Rashodi_2026_RI!$A$18:$Z$10000,15,FALSE),0)</f>
        <v>52571.12</v>
      </c>
      <c r="M89" s="87" t="e">
        <f t="shared" si="48"/>
        <v>#VALUE!</v>
      </c>
      <c r="N89" s="87">
        <f t="shared" si="49"/>
        <v>49.501996233521659</v>
      </c>
      <c r="O89" s="31"/>
      <c r="T89" s="25" t="str">
        <f t="shared" si="47"/>
        <v>A2124014313239</v>
      </c>
    </row>
    <row r="90" spans="1:20" ht="20.100000000000001" hidden="1" customHeight="1" outlineLevel="1" x14ac:dyDescent="0.2">
      <c r="A90" s="25" t="str">
        <f t="shared" si="43"/>
        <v>A2124014313241</v>
      </c>
      <c r="B90" s="30" t="s">
        <v>472</v>
      </c>
      <c r="C90" s="26" t="s">
        <v>327</v>
      </c>
      <c r="D90" s="30">
        <v>431</v>
      </c>
      <c r="E90" s="30" t="str">
        <f t="shared" si="45"/>
        <v>3</v>
      </c>
      <c r="F90" s="30" t="str">
        <f t="shared" si="46"/>
        <v>32</v>
      </c>
      <c r="G90" s="26" t="str">
        <f t="shared" si="44"/>
        <v>324</v>
      </c>
      <c r="H90" s="86" t="s">
        <v>150</v>
      </c>
      <c r="I90" s="86" t="s">
        <v>152</v>
      </c>
      <c r="J90" s="87" t="e">
        <f>SUMIFS([2]Anl_20250630!$K$6:$K$173,[2]Anl_20250630!$A$6:$A$173,A90)</f>
        <v>#VALUE!</v>
      </c>
      <c r="K90" s="87">
        <f>_xlfn.IFNA(VLOOKUP(T90,[3]Rashodi_2026_RI!$A$18:$Z$10000,14,FALSE),0)</f>
        <v>0</v>
      </c>
      <c r="L90" s="87">
        <f>_xlfn.IFNA(VLOOKUP(T90,[3]Rashodi_2026_RI!$A$18:$Z$10000,15,FALSE),0)</f>
        <v>0</v>
      </c>
      <c r="M90" s="87" t="e">
        <f t="shared" si="48"/>
        <v>#VALUE!</v>
      </c>
      <c r="N90" s="87">
        <f t="shared" si="49"/>
        <v>0</v>
      </c>
      <c r="O90" s="31"/>
      <c r="T90" s="25" t="str">
        <f t="shared" si="47"/>
        <v>A2124014313241</v>
      </c>
    </row>
    <row r="91" spans="1:20" ht="20.100000000000001" hidden="1" customHeight="1" outlineLevel="1" x14ac:dyDescent="0.2">
      <c r="A91" s="25" t="str">
        <f t="shared" si="43"/>
        <v>A2124014313291</v>
      </c>
      <c r="B91" s="30" t="s">
        <v>472</v>
      </c>
      <c r="C91" s="26" t="s">
        <v>327</v>
      </c>
      <c r="D91" s="30">
        <v>431</v>
      </c>
      <c r="E91" s="30" t="str">
        <f t="shared" si="45"/>
        <v>3</v>
      </c>
      <c r="F91" s="30" t="str">
        <f t="shared" si="46"/>
        <v>32</v>
      </c>
      <c r="G91" s="26" t="str">
        <f t="shared" si="44"/>
        <v>329</v>
      </c>
      <c r="H91" s="212" t="s">
        <v>107</v>
      </c>
      <c r="I91" s="86" t="s">
        <v>109</v>
      </c>
      <c r="J91" s="87" t="e">
        <f>SUMIFS([2]Anl_20250630!$K$6:$K$173,[2]Anl_20250630!$A$6:$A$173,A91)</f>
        <v>#VALUE!</v>
      </c>
      <c r="K91" s="87">
        <f>_xlfn.IFNA(VLOOKUP(T91,[3]Rashodi_2026_RI!$A$18:$Z$10000,14,FALSE),0)</f>
        <v>0</v>
      </c>
      <c r="L91" s="87">
        <f>_xlfn.IFNA(VLOOKUP(T91,[3]Rashodi_2026_RI!$A$18:$Z$10000,15,FALSE),0)</f>
        <v>837.66</v>
      </c>
      <c r="M91" s="87" t="e">
        <f t="shared" si="48"/>
        <v>#VALUE!</v>
      </c>
      <c r="N91" s="87">
        <f t="shared" si="49"/>
        <v>0</v>
      </c>
      <c r="O91" s="31"/>
      <c r="T91" s="25" t="str">
        <f t="shared" si="47"/>
        <v>A2124014313291</v>
      </c>
    </row>
    <row r="92" spans="1:20" ht="20.100000000000001" hidden="1" customHeight="1" outlineLevel="1" x14ac:dyDescent="0.2">
      <c r="A92" s="25" t="str">
        <f t="shared" si="43"/>
        <v>A2124014313292</v>
      </c>
      <c r="B92" s="30" t="s">
        <v>472</v>
      </c>
      <c r="C92" s="26" t="s">
        <v>327</v>
      </c>
      <c r="D92" s="30">
        <v>431</v>
      </c>
      <c r="E92" s="30" t="str">
        <f t="shared" si="45"/>
        <v>3</v>
      </c>
      <c r="F92" s="30" t="str">
        <f t="shared" si="46"/>
        <v>32</v>
      </c>
      <c r="G92" s="26" t="str">
        <f t="shared" si="44"/>
        <v>329</v>
      </c>
      <c r="H92" s="86" t="s">
        <v>110</v>
      </c>
      <c r="I92" s="86" t="s">
        <v>112</v>
      </c>
      <c r="J92" s="87" t="e">
        <f>SUMIFS([2]Anl_20250630!$K$6:$K$173,[2]Anl_20250630!$A$6:$A$173,A92)</f>
        <v>#VALUE!</v>
      </c>
      <c r="K92" s="87">
        <f>_xlfn.IFNA(VLOOKUP(T92,[3]Rashodi_2026_RI!$A$18:$Z$10000,14,FALSE),0)</f>
        <v>4000</v>
      </c>
      <c r="L92" s="87">
        <f>_xlfn.IFNA(VLOOKUP(T92,[3]Rashodi_2026_RI!$A$18:$Z$10000,15,FALSE),0)</f>
        <v>4396.84</v>
      </c>
      <c r="M92" s="87" t="e">
        <f t="shared" si="48"/>
        <v>#VALUE!</v>
      </c>
      <c r="N92" s="87">
        <f t="shared" si="49"/>
        <v>109.92100000000001</v>
      </c>
      <c r="O92" s="31"/>
      <c r="T92" s="25" t="str">
        <f t="shared" si="47"/>
        <v>A2124014313292</v>
      </c>
    </row>
    <row r="93" spans="1:20" ht="20.100000000000001" hidden="1" customHeight="1" outlineLevel="1" x14ac:dyDescent="0.2">
      <c r="A93" s="25" t="str">
        <f t="shared" si="43"/>
        <v>A2124014313293</v>
      </c>
      <c r="B93" s="30" t="s">
        <v>472</v>
      </c>
      <c r="C93" s="26" t="s">
        <v>327</v>
      </c>
      <c r="D93" s="30">
        <v>431</v>
      </c>
      <c r="E93" s="30" t="str">
        <f t="shared" si="45"/>
        <v>3</v>
      </c>
      <c r="F93" s="30" t="str">
        <f t="shared" si="46"/>
        <v>32</v>
      </c>
      <c r="G93" s="26" t="str">
        <f t="shared" si="44"/>
        <v>329</v>
      </c>
      <c r="H93" s="86" t="s">
        <v>154</v>
      </c>
      <c r="I93" s="86" t="s">
        <v>156</v>
      </c>
      <c r="J93" s="87" t="e">
        <f>SUMIFS([2]Anl_20250630!$K$6:$K$173,[2]Anl_20250630!$A$6:$A$173,A93)</f>
        <v>#VALUE!</v>
      </c>
      <c r="K93" s="87">
        <f>_xlfn.IFNA(VLOOKUP(T93,[3]Rashodi_2026_RI!$A$18:$Z$10000,14,FALSE),0)</f>
        <v>9000</v>
      </c>
      <c r="L93" s="87">
        <f>_xlfn.IFNA(VLOOKUP(T93,[3]Rashodi_2026_RI!$A$18:$Z$10000,15,FALSE),0)</f>
        <v>6514.59</v>
      </c>
      <c r="M93" s="87" t="e">
        <f t="shared" si="48"/>
        <v>#VALUE!</v>
      </c>
      <c r="N93" s="87">
        <f t="shared" si="49"/>
        <v>72.384333333333345</v>
      </c>
      <c r="O93" s="31"/>
      <c r="T93" s="25" t="str">
        <f t="shared" si="47"/>
        <v>A2124014313293</v>
      </c>
    </row>
    <row r="94" spans="1:20" ht="20.100000000000001" hidden="1" customHeight="1" outlineLevel="1" x14ac:dyDescent="0.2">
      <c r="A94" s="25" t="str">
        <f t="shared" si="43"/>
        <v>A2124014313294</v>
      </c>
      <c r="B94" s="30" t="s">
        <v>472</v>
      </c>
      <c r="C94" s="26" t="s">
        <v>327</v>
      </c>
      <c r="D94" s="30">
        <v>431</v>
      </c>
      <c r="E94" s="30" t="str">
        <f t="shared" si="45"/>
        <v>3</v>
      </c>
      <c r="F94" s="30" t="str">
        <f t="shared" si="46"/>
        <v>32</v>
      </c>
      <c r="G94" s="26" t="str">
        <f t="shared" si="44"/>
        <v>329</v>
      </c>
      <c r="H94" s="86" t="s">
        <v>113</v>
      </c>
      <c r="I94" s="86" t="s">
        <v>115</v>
      </c>
      <c r="J94" s="87" t="e">
        <f>SUMIFS([2]Anl_20250630!$K$6:$K$173,[2]Anl_20250630!$A$6:$A$173,A94)</f>
        <v>#VALUE!</v>
      </c>
      <c r="K94" s="87">
        <f>_xlfn.IFNA(VLOOKUP(T94,[3]Rashodi_2026_RI!$A$18:$Z$10000,14,FALSE),0)</f>
        <v>3300</v>
      </c>
      <c r="L94" s="87">
        <f>_xlfn.IFNA(VLOOKUP(T94,[3]Rashodi_2026_RI!$A$18:$Z$10000,15,FALSE),0)</f>
        <v>2391.06</v>
      </c>
      <c r="M94" s="87" t="e">
        <f t="shared" si="48"/>
        <v>#VALUE!</v>
      </c>
      <c r="N94" s="87">
        <f t="shared" si="49"/>
        <v>72.456363636363633</v>
      </c>
      <c r="O94" s="31"/>
      <c r="T94" s="25" t="str">
        <f t="shared" si="47"/>
        <v>A2124014313294</v>
      </c>
    </row>
    <row r="95" spans="1:20" ht="20.100000000000001" hidden="1" customHeight="1" outlineLevel="1" x14ac:dyDescent="0.2">
      <c r="A95" s="25" t="str">
        <f t="shared" si="43"/>
        <v>A2124014313295</v>
      </c>
      <c r="B95" s="30" t="s">
        <v>472</v>
      </c>
      <c r="C95" s="26" t="s">
        <v>327</v>
      </c>
      <c r="D95" s="30">
        <v>431</v>
      </c>
      <c r="E95" s="30" t="str">
        <f t="shared" si="45"/>
        <v>3</v>
      </c>
      <c r="F95" s="30" t="str">
        <f t="shared" si="46"/>
        <v>32</v>
      </c>
      <c r="G95" s="26" t="str">
        <f t="shared" si="44"/>
        <v>329</v>
      </c>
      <c r="H95" s="86" t="s">
        <v>116</v>
      </c>
      <c r="I95" s="86" t="s">
        <v>118</v>
      </c>
      <c r="J95" s="87" t="e">
        <f>SUMIFS([2]Anl_20250630!$K$6:$K$173,[2]Anl_20250630!$A$6:$A$173,A95)</f>
        <v>#VALUE!</v>
      </c>
      <c r="K95" s="87">
        <f>_xlfn.IFNA(VLOOKUP(T95,[3]Rashodi_2026_RI!$A$18:$Z$10000,14,FALSE),0)</f>
        <v>22500</v>
      </c>
      <c r="L95" s="87">
        <f>_xlfn.IFNA(VLOOKUP(T95,[3]Rashodi_2026_RI!$A$18:$Z$10000,15,FALSE),0)</f>
        <v>7798</v>
      </c>
      <c r="M95" s="87" t="e">
        <f t="shared" si="48"/>
        <v>#VALUE!</v>
      </c>
      <c r="N95" s="87">
        <f t="shared" si="49"/>
        <v>34.657777777777774</v>
      </c>
      <c r="O95" s="31"/>
      <c r="T95" s="25" t="str">
        <f t="shared" si="47"/>
        <v>A2124014313295</v>
      </c>
    </row>
    <row r="96" spans="1:20" ht="20.100000000000001" hidden="1" customHeight="1" outlineLevel="1" x14ac:dyDescent="0.2">
      <c r="A96" s="25" t="str">
        <f t="shared" si="43"/>
        <v>A2124014313299</v>
      </c>
      <c r="B96" s="30" t="s">
        <v>472</v>
      </c>
      <c r="C96" s="26" t="s">
        <v>327</v>
      </c>
      <c r="D96" s="30">
        <v>431</v>
      </c>
      <c r="E96" s="30" t="str">
        <f t="shared" si="45"/>
        <v>3</v>
      </c>
      <c r="F96" s="30" t="str">
        <f t="shared" si="46"/>
        <v>32</v>
      </c>
      <c r="G96" s="26" t="str">
        <f t="shared" si="44"/>
        <v>329</v>
      </c>
      <c r="H96" s="86" t="s">
        <v>159</v>
      </c>
      <c r="I96" s="86" t="s">
        <v>161</v>
      </c>
      <c r="J96" s="87" t="e">
        <f>SUMIFS([2]Anl_20250630!$K$6:$K$173,[2]Anl_20250630!$A$6:$A$173,A96)</f>
        <v>#VALUE!</v>
      </c>
      <c r="K96" s="87">
        <f>_xlfn.IFNA(VLOOKUP(T96,[3]Rashodi_2026_RI!$A$18:$Z$10000,14,FALSE),0)</f>
        <v>4000</v>
      </c>
      <c r="L96" s="87">
        <f>_xlfn.IFNA(VLOOKUP(T96,[3]Rashodi_2026_RI!$A$18:$Z$10000,15,FALSE),0)</f>
        <v>1216.76</v>
      </c>
      <c r="M96" s="87" t="e">
        <f t="shared" si="48"/>
        <v>#VALUE!</v>
      </c>
      <c r="N96" s="87">
        <f t="shared" si="49"/>
        <v>30.419</v>
      </c>
      <c r="O96" s="31"/>
      <c r="T96" s="25" t="str">
        <f t="shared" si="47"/>
        <v>A2124014313299</v>
      </c>
    </row>
    <row r="97" spans="1:20" ht="20.100000000000001" hidden="1" customHeight="1" outlineLevel="1" x14ac:dyDescent="0.2">
      <c r="A97" s="25" t="str">
        <f t="shared" si="43"/>
        <v>A2124014313431</v>
      </c>
      <c r="B97" s="30" t="s">
        <v>472</v>
      </c>
      <c r="C97" s="26" t="s">
        <v>327</v>
      </c>
      <c r="D97" s="30">
        <v>431</v>
      </c>
      <c r="E97" s="30" t="str">
        <f t="shared" si="45"/>
        <v>3</v>
      </c>
      <c r="F97" s="30" t="str">
        <f t="shared" si="46"/>
        <v>34</v>
      </c>
      <c r="G97" s="26" t="str">
        <f t="shared" si="44"/>
        <v>343</v>
      </c>
      <c r="H97" s="86" t="s">
        <v>119</v>
      </c>
      <c r="I97" s="86" t="s">
        <v>121</v>
      </c>
      <c r="J97" s="87" t="e">
        <f>SUMIFS([2]Anl_20250630!$K$6:$K$173,[2]Anl_20250630!$A$6:$A$173,A97)</f>
        <v>#VALUE!</v>
      </c>
      <c r="K97" s="87">
        <f>_xlfn.IFNA(VLOOKUP(T97,[3]Rashodi_2026_RI!$A$18:$Z$10000,14,FALSE),0)</f>
        <v>14600</v>
      </c>
      <c r="L97" s="87">
        <f>_xlfn.IFNA(VLOOKUP(T97,[3]Rashodi_2026_RI!$A$18:$Z$10000,15,FALSE),0)</f>
        <v>11103.71</v>
      </c>
      <c r="M97" s="87" t="e">
        <f t="shared" si="48"/>
        <v>#VALUE!</v>
      </c>
      <c r="N97" s="87">
        <f t="shared" si="49"/>
        <v>76.052808219178075</v>
      </c>
      <c r="O97" s="31"/>
      <c r="T97" s="25" t="str">
        <f t="shared" si="47"/>
        <v>A2124014313431</v>
      </c>
    </row>
    <row r="98" spans="1:20" ht="20.100000000000001" hidden="1" customHeight="1" outlineLevel="1" x14ac:dyDescent="0.2">
      <c r="A98" s="25" t="str">
        <f t="shared" si="43"/>
        <v>A2124014313433</v>
      </c>
      <c r="B98" s="30" t="s">
        <v>472</v>
      </c>
      <c r="C98" s="26" t="s">
        <v>327</v>
      </c>
      <c r="D98" s="30">
        <v>431</v>
      </c>
      <c r="E98" s="30" t="str">
        <f t="shared" si="45"/>
        <v>3</v>
      </c>
      <c r="F98" s="30" t="str">
        <f t="shared" si="46"/>
        <v>34</v>
      </c>
      <c r="G98" s="26" t="str">
        <f t="shared" si="44"/>
        <v>343</v>
      </c>
      <c r="H98" s="86" t="s">
        <v>163</v>
      </c>
      <c r="I98" s="86" t="s">
        <v>165</v>
      </c>
      <c r="J98" s="87" t="e">
        <f>SUMIFS([2]Anl_20250630!$K$6:$K$173,[2]Anl_20250630!$A$6:$A$173,A98)</f>
        <v>#VALUE!</v>
      </c>
      <c r="K98" s="87">
        <f>_xlfn.IFNA(VLOOKUP(T98,[3]Rashodi_2026_RI!$A$18:$Z$10000,14,FALSE),0)</f>
        <v>100</v>
      </c>
      <c r="L98" s="87">
        <f>_xlfn.IFNA(VLOOKUP(T98,[3]Rashodi_2026_RI!$A$18:$Z$10000,15,FALSE),0)</f>
        <v>69.27</v>
      </c>
      <c r="M98" s="87" t="e">
        <f t="shared" si="48"/>
        <v>#VALUE!</v>
      </c>
      <c r="N98" s="87">
        <f t="shared" si="49"/>
        <v>69.27</v>
      </c>
      <c r="O98" s="93" t="s">
        <v>347</v>
      </c>
      <c r="P98" s="94" t="s">
        <v>350</v>
      </c>
      <c r="Q98" s="94" t="s">
        <v>349</v>
      </c>
      <c r="T98" s="25" t="str">
        <f t="shared" si="47"/>
        <v>A2124014313433</v>
      </c>
    </row>
    <row r="99" spans="1:20" ht="24.95" customHeight="1" collapsed="1" x14ac:dyDescent="0.2">
      <c r="B99" s="30"/>
      <c r="H99" s="230" t="s">
        <v>581</v>
      </c>
      <c r="I99" s="230"/>
      <c r="J99" s="79" t="e">
        <f>SUMIFS(J100:J291,$C100:$C291,"A212401",$D100:$D291,"510")</f>
        <v>#VALUE!</v>
      </c>
      <c r="K99" s="79">
        <f t="shared" ref="K99:L99" si="50">SUMIFS(K100:K291,$C100:$C291,"A212401",$D100:$D291,"510")</f>
        <v>0</v>
      </c>
      <c r="L99" s="79">
        <f t="shared" si="50"/>
        <v>0</v>
      </c>
      <c r="M99" s="79" t="e">
        <f t="shared" si="48"/>
        <v>#VALUE!</v>
      </c>
      <c r="N99" s="79">
        <f t="shared" si="49"/>
        <v>0</v>
      </c>
    </row>
    <row r="100" spans="1:20" ht="20.100000000000001" hidden="1" customHeight="1" outlineLevel="1" x14ac:dyDescent="0.2">
      <c r="A100" s="25" t="str">
        <f t="shared" si="43"/>
        <v>A2124015103211</v>
      </c>
      <c r="B100" s="30" t="s">
        <v>472</v>
      </c>
      <c r="C100" s="26" t="s">
        <v>327</v>
      </c>
      <c r="D100" s="30">
        <v>510</v>
      </c>
      <c r="E100" s="30" t="str">
        <f>LEFT(H100,1)</f>
        <v>3</v>
      </c>
      <c r="F100" s="30" t="str">
        <f>LEFT(H100,2)</f>
        <v>32</v>
      </c>
      <c r="G100" s="26" t="str">
        <f t="shared" ref="G100:G105" si="51">LEFT(H100,3)</f>
        <v>321</v>
      </c>
      <c r="H100" s="86" t="s">
        <v>130</v>
      </c>
      <c r="I100" s="86" t="s">
        <v>132</v>
      </c>
      <c r="J100" s="87" t="e">
        <f>SUMIFS([2]Anl_20250630!$K$6:$K$173,[2]Anl_20250630!$A$6:$A$173,A100)</f>
        <v>#VALUE!</v>
      </c>
      <c r="K100" s="87">
        <f>_xlfn.IFNA(VLOOKUP(T100,[3]Rashodi_2026_RI!$A$18:$Z$10000,14,FALSE),0)</f>
        <v>0</v>
      </c>
      <c r="L100" s="87">
        <f>_xlfn.IFNA(VLOOKUP(T100,[3]Rashodi_2026_RI!$A$18:$Z$10000,15,FALSE),0)</f>
        <v>0</v>
      </c>
      <c r="M100" s="87" t="e">
        <f t="shared" si="48"/>
        <v>#VALUE!</v>
      </c>
      <c r="N100" s="87">
        <f t="shared" si="49"/>
        <v>0</v>
      </c>
      <c r="O100" s="31"/>
      <c r="T100" s="25" t="str">
        <f t="shared" ref="T100:T163" si="52">CONCATENATE(C100,D100,H100)</f>
        <v>A2124015103211</v>
      </c>
    </row>
    <row r="101" spans="1:20" ht="20.100000000000001" hidden="1" customHeight="1" outlineLevel="1" x14ac:dyDescent="0.2">
      <c r="A101" s="25" t="str">
        <f t="shared" si="43"/>
        <v>A2124015103213</v>
      </c>
      <c r="B101" s="30" t="s">
        <v>472</v>
      </c>
      <c r="C101" s="26" t="s">
        <v>327</v>
      </c>
      <c r="D101" s="30">
        <v>510</v>
      </c>
      <c r="E101" s="30" t="str">
        <f>LEFT(H101,1)</f>
        <v>3</v>
      </c>
      <c r="F101" s="30" t="str">
        <f>LEFT(H101,2)</f>
        <v>32</v>
      </c>
      <c r="G101" s="26" t="str">
        <f t="shared" si="51"/>
        <v>321</v>
      </c>
      <c r="H101" s="86" t="s">
        <v>69</v>
      </c>
      <c r="I101" s="86" t="s">
        <v>71</v>
      </c>
      <c r="J101" s="87" t="e">
        <f>SUMIFS([2]Anl_20250630!$K$6:$K$173,[2]Anl_20250630!$A$6:$A$173,A101)</f>
        <v>#VALUE!</v>
      </c>
      <c r="K101" s="87">
        <f>_xlfn.IFNA(VLOOKUP(T101,[3]Rashodi_2026_RI!$A$18:$Z$10000,14,FALSE),0)</f>
        <v>0</v>
      </c>
      <c r="L101" s="87">
        <f>_xlfn.IFNA(VLOOKUP(T101,[3]Rashodi_2026_RI!$A$18:$Z$10000,15,FALSE),0)</f>
        <v>0</v>
      </c>
      <c r="M101" s="87" t="e">
        <f t="shared" si="48"/>
        <v>#VALUE!</v>
      </c>
      <c r="N101" s="87">
        <f t="shared" si="49"/>
        <v>0</v>
      </c>
      <c r="O101" s="31"/>
      <c r="T101" s="25" t="str">
        <f t="shared" si="52"/>
        <v>A2124015103213</v>
      </c>
    </row>
    <row r="102" spans="1:20" ht="20.100000000000001" hidden="1" customHeight="1" outlineLevel="1" x14ac:dyDescent="0.2">
      <c r="A102" s="25" t="str">
        <f t="shared" si="43"/>
        <v>A2124015103232</v>
      </c>
      <c r="B102" s="30" t="s">
        <v>472</v>
      </c>
      <c r="C102" s="26" t="s">
        <v>327</v>
      </c>
      <c r="D102" s="30">
        <v>510</v>
      </c>
      <c r="E102" s="30" t="str">
        <f>LEFT(H102,1)</f>
        <v>3</v>
      </c>
      <c r="F102" s="30" t="str">
        <f>LEFT(H102,2)</f>
        <v>32</v>
      </c>
      <c r="G102" s="26" t="str">
        <f t="shared" si="51"/>
        <v>323</v>
      </c>
      <c r="H102" s="86" t="s">
        <v>38</v>
      </c>
      <c r="I102" s="86" t="s">
        <v>40</v>
      </c>
      <c r="J102" s="87" t="e">
        <f>SUMIFS([2]Anl_20250630!$K$6:$K$173,[2]Anl_20250630!$A$6:$A$173,A102)</f>
        <v>#VALUE!</v>
      </c>
      <c r="K102" s="87">
        <f>_xlfn.IFNA(VLOOKUP(T102,[3]Rashodi_2026_RI!$A$18:$Z$10000,14,FALSE),0)</f>
        <v>0</v>
      </c>
      <c r="L102" s="87">
        <f>_xlfn.IFNA(VLOOKUP(T102,[3]Rashodi_2026_RI!$A$18:$Z$10000,15,FALSE),0)</f>
        <v>0</v>
      </c>
      <c r="M102" s="87" t="e">
        <f t="shared" si="48"/>
        <v>#VALUE!</v>
      </c>
      <c r="N102" s="87">
        <f t="shared" si="49"/>
        <v>0</v>
      </c>
      <c r="O102" s="31"/>
      <c r="T102" s="25" t="str">
        <f t="shared" si="52"/>
        <v>A2124015103232</v>
      </c>
    </row>
    <row r="103" spans="1:20" ht="20.100000000000001" hidden="1" customHeight="1" outlineLevel="1" x14ac:dyDescent="0.2">
      <c r="A103" s="25" t="str">
        <f t="shared" si="43"/>
        <v>A2124015103233</v>
      </c>
      <c r="B103" s="30" t="s">
        <v>472</v>
      </c>
      <c r="C103" s="26" t="s">
        <v>327</v>
      </c>
      <c r="D103" s="30">
        <v>510</v>
      </c>
      <c r="E103" s="30" t="str">
        <f>LEFT(H103,1)</f>
        <v>3</v>
      </c>
      <c r="F103" s="30" t="str">
        <f>LEFT(H103,2)</f>
        <v>32</v>
      </c>
      <c r="G103" s="26" t="str">
        <f t="shared" si="51"/>
        <v>323</v>
      </c>
      <c r="H103" s="86" t="s">
        <v>91</v>
      </c>
      <c r="I103" s="86" t="s">
        <v>93</v>
      </c>
      <c r="J103" s="87" t="e">
        <f>SUMIFS([2]Anl_20250630!$K$6:$K$173,[2]Anl_20250630!$A$6:$A$173,A103)</f>
        <v>#VALUE!</v>
      </c>
      <c r="K103" s="87">
        <f>_xlfn.IFNA(VLOOKUP(T103,[3]Rashodi_2026_RI!$A$18:$Z$10000,14,FALSE),0)</f>
        <v>0</v>
      </c>
      <c r="L103" s="87">
        <f>_xlfn.IFNA(VLOOKUP(T103,[3]Rashodi_2026_RI!$A$18:$Z$10000,15,FALSE),0)</f>
        <v>0</v>
      </c>
      <c r="M103" s="87" t="e">
        <f t="shared" si="48"/>
        <v>#VALUE!</v>
      </c>
      <c r="N103" s="87">
        <f t="shared" si="49"/>
        <v>0</v>
      </c>
      <c r="O103" s="31"/>
      <c r="T103" s="25" t="str">
        <f t="shared" si="52"/>
        <v>A2124015103233</v>
      </c>
    </row>
    <row r="104" spans="1:20" ht="20.100000000000001" hidden="1" customHeight="1" outlineLevel="1" x14ac:dyDescent="0.2">
      <c r="A104" s="25" t="str">
        <f t="shared" si="43"/>
        <v>A2124015103237</v>
      </c>
      <c r="B104" s="30" t="s">
        <v>472</v>
      </c>
      <c r="C104" s="26" t="s">
        <v>327</v>
      </c>
      <c r="D104" s="30">
        <v>510</v>
      </c>
      <c r="E104" s="30" t="str">
        <f t="shared" ref="E104" si="53">LEFT(H104,1)</f>
        <v>3</v>
      </c>
      <c r="F104" s="30" t="str">
        <f t="shared" ref="F104" si="54">LEFT(H104,2)</f>
        <v>32</v>
      </c>
      <c r="G104" s="26" t="str">
        <f t="shared" si="51"/>
        <v>323</v>
      </c>
      <c r="H104" s="86" t="s">
        <v>41</v>
      </c>
      <c r="I104" s="86" t="s">
        <v>43</v>
      </c>
      <c r="J104" s="87" t="e">
        <f>SUMIFS([2]Anl_20250630!$K$6:$K$173,[2]Anl_20250630!$A$6:$A$173,A104)</f>
        <v>#VALUE!</v>
      </c>
      <c r="K104" s="87">
        <f>_xlfn.IFNA(VLOOKUP(T104,[3]Rashodi_2026_RI!$A$18:$Z$10000,14,FALSE),0)</f>
        <v>0</v>
      </c>
      <c r="L104" s="87">
        <f>_xlfn.IFNA(VLOOKUP(T104,[3]Rashodi_2026_RI!$A$18:$Z$10000,15,FALSE),0)</f>
        <v>0</v>
      </c>
      <c r="M104" s="87" t="e">
        <f t="shared" si="48"/>
        <v>#VALUE!</v>
      </c>
      <c r="N104" s="87">
        <f t="shared" si="49"/>
        <v>0</v>
      </c>
      <c r="O104" s="31"/>
      <c r="T104" s="25" t="str">
        <f t="shared" si="52"/>
        <v>A2124015103237</v>
      </c>
    </row>
    <row r="105" spans="1:20" ht="20.100000000000001" hidden="1" customHeight="1" outlineLevel="1" x14ac:dyDescent="0.2">
      <c r="A105" s="25" t="str">
        <f t="shared" si="43"/>
        <v>A2124015103293</v>
      </c>
      <c r="B105" s="30" t="s">
        <v>472</v>
      </c>
      <c r="C105" s="26" t="s">
        <v>327</v>
      </c>
      <c r="D105" s="30">
        <v>510</v>
      </c>
      <c r="E105" s="30" t="str">
        <f>LEFT(H105,1)</f>
        <v>3</v>
      </c>
      <c r="F105" s="30" t="str">
        <f>LEFT(H105,2)</f>
        <v>32</v>
      </c>
      <c r="G105" s="26" t="str">
        <f t="shared" si="51"/>
        <v>329</v>
      </c>
      <c r="H105" s="86" t="s">
        <v>154</v>
      </c>
      <c r="I105" s="86" t="s">
        <v>156</v>
      </c>
      <c r="J105" s="87" t="e">
        <f>SUMIFS([2]Anl_20250630!$K$6:$K$173,[2]Anl_20250630!$A$6:$A$173,A105)</f>
        <v>#VALUE!</v>
      </c>
      <c r="K105" s="87">
        <f>_xlfn.IFNA(VLOOKUP(T105,[3]Rashodi_2026_RI!$A$18:$Z$10000,14,FALSE),0)</f>
        <v>0</v>
      </c>
      <c r="L105" s="87">
        <f>_xlfn.IFNA(VLOOKUP(T105,[3]Rashodi_2026_RI!$A$18:$Z$10000,15,FALSE),0)</f>
        <v>0</v>
      </c>
      <c r="M105" s="87" t="e">
        <f t="shared" si="48"/>
        <v>#VALUE!</v>
      </c>
      <c r="N105" s="87">
        <f t="shared" si="49"/>
        <v>0</v>
      </c>
      <c r="O105" s="31"/>
      <c r="T105" s="25" t="str">
        <f t="shared" si="52"/>
        <v>A2124015103293</v>
      </c>
    </row>
    <row r="106" spans="1:20" ht="24.95" customHeight="1" collapsed="1" x14ac:dyDescent="0.2">
      <c r="B106" s="30"/>
      <c r="H106" s="230" t="s">
        <v>26</v>
      </c>
      <c r="I106" s="230"/>
      <c r="J106" s="79" t="e">
        <f>SUMIFS(J107:J297,$C107:$C297,"A212401",$D107:$D297,"521")</f>
        <v>#VALUE!</v>
      </c>
      <c r="K106" s="79">
        <f>SUMIFS(K107:K297,$C107:$C297,"A212401",$D107:$D297,"521")</f>
        <v>859400</v>
      </c>
      <c r="L106" s="79">
        <f>SUMIFS(L107:L297,$C107:$C297,"A212401",$D107:$D297,"521")</f>
        <v>460465.05</v>
      </c>
      <c r="M106" s="79" t="e">
        <f t="shared" si="48"/>
        <v>#VALUE!</v>
      </c>
      <c r="N106" s="79">
        <f t="shared" si="49"/>
        <v>53.579828950430532</v>
      </c>
      <c r="O106" s="25">
        <f>SUMIFS(O107:O297,$C107:$C297,"A212401",$D107:$D297,"521")</f>
        <v>178397.38999999998</v>
      </c>
      <c r="P106" s="25">
        <f>SUMIFS(P107:P297,$C107:$C297,"A212401",$D107:$D297,"521")</f>
        <v>643151.68000000005</v>
      </c>
      <c r="Q106" s="25">
        <f>SUMIFS(Q107:Q297,$C107:$C297,"A212401",$D107:$D297,"521")</f>
        <v>13639.55</v>
      </c>
    </row>
    <row r="107" spans="1:20" ht="20.100000000000001" hidden="1" customHeight="1" outlineLevel="1" x14ac:dyDescent="0.2">
      <c r="A107" s="25" t="str">
        <f t="shared" si="43"/>
        <v>A2124015213111</v>
      </c>
      <c r="B107" s="30" t="s">
        <v>472</v>
      </c>
      <c r="C107" s="26" t="s">
        <v>327</v>
      </c>
      <c r="D107" s="30">
        <v>521</v>
      </c>
      <c r="E107" s="30" t="str">
        <f t="shared" ref="E107:E135" si="55">LEFT(H107,1)</f>
        <v>3</v>
      </c>
      <c r="F107" s="30" t="str">
        <f t="shared" ref="F107:F135" si="56">LEFT(H107,2)</f>
        <v>31</v>
      </c>
      <c r="G107" s="26" t="str">
        <f t="shared" si="44"/>
        <v>311</v>
      </c>
      <c r="H107" s="86" t="s">
        <v>57</v>
      </c>
      <c r="I107" s="86" t="s">
        <v>59</v>
      </c>
      <c r="J107" s="87" t="e">
        <f>SUMIFS([2]Anl_20250630!$K$6:$K$173,[2]Anl_20250630!$A$6:$A$173,A107)</f>
        <v>#VALUE!</v>
      </c>
      <c r="K107" s="87">
        <f>_xlfn.IFNA(VLOOKUP(T107,[3]Rashodi_2026_RI!$A$18:$Z$10000,14,FALSE),0)</f>
        <v>613000</v>
      </c>
      <c r="L107" s="87">
        <f>_xlfn.IFNA(VLOOKUP(T107,[3]Rashodi_2026_RI!$A$18:$Z$10000,15,FALSE),0)</f>
        <v>311852.18</v>
      </c>
      <c r="M107" s="87" t="e">
        <f t="shared" si="48"/>
        <v>#VALUE!</v>
      </c>
      <c r="N107" s="87">
        <f t="shared" si="49"/>
        <v>50.873112561174551</v>
      </c>
      <c r="O107" s="31">
        <v>145951.35</v>
      </c>
      <c r="P107" s="25">
        <v>462915.37</v>
      </c>
      <c r="T107" s="25" t="str">
        <f t="shared" si="52"/>
        <v>A2124015213111</v>
      </c>
    </row>
    <row r="108" spans="1:20" ht="20.100000000000001" hidden="1" customHeight="1" outlineLevel="1" x14ac:dyDescent="0.2">
      <c r="A108" s="25" t="str">
        <f t="shared" si="43"/>
        <v>A2124015213121</v>
      </c>
      <c r="B108" s="30" t="s">
        <v>472</v>
      </c>
      <c r="C108" s="26" t="s">
        <v>327</v>
      </c>
      <c r="D108" s="30">
        <v>521</v>
      </c>
      <c r="E108" s="30" t="str">
        <f t="shared" si="55"/>
        <v>3</v>
      </c>
      <c r="F108" s="30" t="str">
        <f t="shared" si="56"/>
        <v>31</v>
      </c>
      <c r="G108" s="26" t="str">
        <f t="shared" si="44"/>
        <v>312</v>
      </c>
      <c r="H108" s="86" t="s">
        <v>60</v>
      </c>
      <c r="I108" s="86" t="s">
        <v>62</v>
      </c>
      <c r="J108" s="87" t="e">
        <f>SUMIFS([2]Anl_20250630!$K$6:$K$173,[2]Anl_20250630!$A$6:$A$173,A108)</f>
        <v>#VALUE!</v>
      </c>
      <c r="K108" s="87">
        <f>_xlfn.IFNA(VLOOKUP(T108,[3]Rashodi_2026_RI!$A$18:$Z$10000,14,FALSE),0)</f>
        <v>32300</v>
      </c>
      <c r="L108" s="87">
        <f>_xlfn.IFNA(VLOOKUP(T108,[3]Rashodi_2026_RI!$A$18:$Z$10000,15,FALSE),0)</f>
        <v>49320.9200000001</v>
      </c>
      <c r="M108" s="87" t="e">
        <f t="shared" si="48"/>
        <v>#VALUE!</v>
      </c>
      <c r="N108" s="87">
        <f t="shared" si="49"/>
        <v>152.69634674922631</v>
      </c>
      <c r="O108" s="31">
        <v>3529.36</v>
      </c>
      <c r="P108" s="25">
        <v>49647.32</v>
      </c>
      <c r="T108" s="25" t="str">
        <f t="shared" si="52"/>
        <v>A2124015213121</v>
      </c>
    </row>
    <row r="109" spans="1:20" ht="20.100000000000001" hidden="1" customHeight="1" outlineLevel="1" x14ac:dyDescent="0.2">
      <c r="A109" s="25" t="str">
        <f t="shared" ref="A109:A172" si="57">CONCATENATE(C109,D109,H109)</f>
        <v>A2124015213132</v>
      </c>
      <c r="B109" s="30" t="s">
        <v>472</v>
      </c>
      <c r="C109" s="26" t="s">
        <v>327</v>
      </c>
      <c r="D109" s="30">
        <v>521</v>
      </c>
      <c r="E109" s="30" t="str">
        <f t="shared" si="55"/>
        <v>3</v>
      </c>
      <c r="F109" s="30" t="str">
        <f t="shared" si="56"/>
        <v>31</v>
      </c>
      <c r="G109" s="26" t="str">
        <f t="shared" si="44"/>
        <v>313</v>
      </c>
      <c r="H109" s="86" t="s">
        <v>63</v>
      </c>
      <c r="I109" s="86" t="s">
        <v>65</v>
      </c>
      <c r="J109" s="87" t="e">
        <f>SUMIFS([2]Anl_20250630!$K$6:$K$173,[2]Anl_20250630!$A$6:$A$173,A109)</f>
        <v>#VALUE!</v>
      </c>
      <c r="K109" s="87">
        <f>_xlfn.IFNA(VLOOKUP(T109,[3]Rashodi_2026_RI!$A$18:$Z$10000,14,FALSE),0)</f>
        <v>100700</v>
      </c>
      <c r="L109" s="87">
        <f>_xlfn.IFNA(VLOOKUP(T109,[3]Rashodi_2026_RI!$A$18:$Z$10000,15,FALSE),0)</f>
        <v>59637.329999999834</v>
      </c>
      <c r="M109" s="87" t="e">
        <f t="shared" si="48"/>
        <v>#VALUE!</v>
      </c>
      <c r="N109" s="87">
        <f t="shared" si="49"/>
        <v>59.222770605759521</v>
      </c>
      <c r="O109" s="31">
        <v>19844.830000000002</v>
      </c>
      <c r="P109" s="25">
        <v>79156.06</v>
      </c>
      <c r="T109" s="25" t="str">
        <f t="shared" si="52"/>
        <v>A2124015213132</v>
      </c>
    </row>
    <row r="110" spans="1:20" ht="20.100000000000001" hidden="1" customHeight="1" outlineLevel="1" x14ac:dyDescent="0.2">
      <c r="A110" s="25" t="str">
        <f t="shared" si="57"/>
        <v>A2124015213211</v>
      </c>
      <c r="B110" s="30" t="s">
        <v>472</v>
      </c>
      <c r="C110" s="26" t="s">
        <v>327</v>
      </c>
      <c r="D110" s="30">
        <v>521</v>
      </c>
      <c r="E110" s="30" t="str">
        <f t="shared" si="55"/>
        <v>3</v>
      </c>
      <c r="F110" s="30" t="str">
        <f t="shared" si="56"/>
        <v>32</v>
      </c>
      <c r="G110" s="26" t="str">
        <f t="shared" si="44"/>
        <v>321</v>
      </c>
      <c r="H110" s="86" t="s">
        <v>130</v>
      </c>
      <c r="I110" s="86" t="s">
        <v>132</v>
      </c>
      <c r="J110" s="87" t="e">
        <f>SUMIFS([2]Anl_20250630!$K$6:$K$173,[2]Anl_20250630!$A$6:$A$173,A110)</f>
        <v>#VALUE!</v>
      </c>
      <c r="K110" s="87">
        <f>_xlfn.IFNA(VLOOKUP(T110,[3]Rashodi_2026_RI!$A$18:$Z$10000,14,FALSE),0)</f>
        <v>1600</v>
      </c>
      <c r="L110" s="87">
        <f>_xlfn.IFNA(VLOOKUP(T110,[3]Rashodi_2026_RI!$A$18:$Z$10000,15,FALSE),0)</f>
        <v>1339.2</v>
      </c>
      <c r="M110" s="87" t="e">
        <f t="shared" si="48"/>
        <v>#VALUE!</v>
      </c>
      <c r="N110" s="87">
        <f t="shared" si="49"/>
        <v>83.7</v>
      </c>
      <c r="O110" s="31">
        <v>2373.48</v>
      </c>
      <c r="T110" s="25" t="str">
        <f t="shared" si="52"/>
        <v>A2124015213211</v>
      </c>
    </row>
    <row r="111" spans="1:20" ht="20.100000000000001" hidden="1" customHeight="1" outlineLevel="1" x14ac:dyDescent="0.2">
      <c r="A111" s="25" t="str">
        <f t="shared" si="57"/>
        <v>A2124015213212</v>
      </c>
      <c r="B111" s="30" t="s">
        <v>472</v>
      </c>
      <c r="C111" s="26" t="s">
        <v>327</v>
      </c>
      <c r="D111" s="30">
        <v>521</v>
      </c>
      <c r="E111" s="30" t="str">
        <f t="shared" si="55"/>
        <v>3</v>
      </c>
      <c r="F111" s="30" t="str">
        <f t="shared" si="56"/>
        <v>32</v>
      </c>
      <c r="G111" s="26" t="str">
        <f t="shared" si="44"/>
        <v>321</v>
      </c>
      <c r="H111" s="86" t="s">
        <v>66</v>
      </c>
      <c r="I111" s="86" t="s">
        <v>68</v>
      </c>
      <c r="J111" s="87" t="e">
        <f>SUMIFS([2]Anl_20250630!$K$6:$K$173,[2]Anl_20250630!$A$6:$A$173,A111)</f>
        <v>#VALUE!</v>
      </c>
      <c r="K111" s="87">
        <f>_xlfn.IFNA(VLOOKUP(T111,[3]Rashodi_2026_RI!$A$18:$Z$10000,14,FALSE),0)</f>
        <v>13500</v>
      </c>
      <c r="L111" s="87">
        <f>_xlfn.IFNA(VLOOKUP(T111,[3]Rashodi_2026_RI!$A$18:$Z$10000,15,FALSE),0)</f>
        <v>5332.8</v>
      </c>
      <c r="M111" s="87" t="e">
        <f t="shared" si="48"/>
        <v>#VALUE!</v>
      </c>
      <c r="N111" s="87">
        <f t="shared" si="49"/>
        <v>39.502222222222223</v>
      </c>
      <c r="O111" s="31">
        <v>2463.36</v>
      </c>
      <c r="P111" s="25">
        <v>9619.82</v>
      </c>
      <c r="T111" s="25" t="str">
        <f t="shared" si="52"/>
        <v>A2124015213212</v>
      </c>
    </row>
    <row r="112" spans="1:20" ht="20.100000000000001" hidden="1" customHeight="1" outlineLevel="1" x14ac:dyDescent="0.2">
      <c r="A112" s="25" t="str">
        <f t="shared" si="57"/>
        <v>A2124015213213</v>
      </c>
      <c r="B112" s="30" t="s">
        <v>472</v>
      </c>
      <c r="C112" s="26" t="s">
        <v>327</v>
      </c>
      <c r="D112" s="30">
        <v>521</v>
      </c>
      <c r="E112" s="30" t="str">
        <f t="shared" si="55"/>
        <v>3</v>
      </c>
      <c r="F112" s="30" t="str">
        <f t="shared" si="56"/>
        <v>32</v>
      </c>
      <c r="G112" s="26" t="str">
        <f t="shared" si="44"/>
        <v>321</v>
      </c>
      <c r="H112" s="86" t="s">
        <v>69</v>
      </c>
      <c r="I112" s="86" t="s">
        <v>71</v>
      </c>
      <c r="J112" s="87" t="e">
        <f>SUMIFS([2]Anl_20250630!$K$6:$K$173,[2]Anl_20250630!$A$6:$A$173,A112)</f>
        <v>#VALUE!</v>
      </c>
      <c r="K112" s="87">
        <f>_xlfn.IFNA(VLOOKUP(T112,[3]Rashodi_2026_RI!$A$18:$Z$10000,14,FALSE),0)</f>
        <v>5300</v>
      </c>
      <c r="L112" s="87">
        <f>_xlfn.IFNA(VLOOKUP(T112,[3]Rashodi_2026_RI!$A$18:$Z$10000,15,FALSE),0)</f>
        <v>253.8</v>
      </c>
      <c r="M112" s="87" t="e">
        <f t="shared" si="48"/>
        <v>#VALUE!</v>
      </c>
      <c r="N112" s="87">
        <f t="shared" si="49"/>
        <v>4.7886792452830189</v>
      </c>
      <c r="O112" s="31">
        <v>753.75</v>
      </c>
      <c r="T112" s="25" t="str">
        <f t="shared" si="52"/>
        <v>A2124015213213</v>
      </c>
    </row>
    <row r="113" spans="1:20" ht="20.100000000000001" hidden="1" customHeight="1" outlineLevel="1" x14ac:dyDescent="0.2">
      <c r="A113" s="25" t="str">
        <f t="shared" si="57"/>
        <v>A2124015213214</v>
      </c>
      <c r="B113" s="30" t="s">
        <v>472</v>
      </c>
      <c r="C113" s="26" t="s">
        <v>327</v>
      </c>
      <c r="D113" s="30">
        <v>521</v>
      </c>
      <c r="E113" s="30" t="str">
        <f t="shared" si="55"/>
        <v>3</v>
      </c>
      <c r="F113" s="30" t="str">
        <f t="shared" si="56"/>
        <v>32</v>
      </c>
      <c r="G113" s="26" t="str">
        <f t="shared" si="44"/>
        <v>321</v>
      </c>
      <c r="H113" s="86" t="s">
        <v>172</v>
      </c>
      <c r="I113" s="86" t="s">
        <v>174</v>
      </c>
      <c r="J113" s="87" t="e">
        <f>SUMIFS([2]Anl_20250630!$K$6:$K$173,[2]Anl_20250630!$A$6:$A$173,A113)</f>
        <v>#VALUE!</v>
      </c>
      <c r="K113" s="87">
        <f>_xlfn.IFNA(VLOOKUP(T113,[3]Rashodi_2026_RI!$A$18:$Z$10000,14,FALSE),0)</f>
        <v>600</v>
      </c>
      <c r="L113" s="87">
        <f>_xlfn.IFNA(VLOOKUP(T113,[3]Rashodi_2026_RI!$A$18:$Z$10000,15,FALSE),0)</f>
        <v>654</v>
      </c>
      <c r="M113" s="87" t="e">
        <f t="shared" si="48"/>
        <v>#VALUE!</v>
      </c>
      <c r="N113" s="87">
        <f t="shared" si="49"/>
        <v>109.00000000000001</v>
      </c>
      <c r="O113" s="31">
        <v>829.5</v>
      </c>
      <c r="T113" s="25" t="str">
        <f t="shared" si="52"/>
        <v>A2124015213214</v>
      </c>
    </row>
    <row r="114" spans="1:20" ht="20.100000000000001" hidden="1" customHeight="1" outlineLevel="1" x14ac:dyDescent="0.2">
      <c r="A114" s="25" t="str">
        <f t="shared" si="57"/>
        <v>A2124015213221</v>
      </c>
      <c r="B114" s="30" t="s">
        <v>472</v>
      </c>
      <c r="C114" s="26" t="s">
        <v>327</v>
      </c>
      <c r="D114" s="30">
        <v>521</v>
      </c>
      <c r="E114" s="30" t="str">
        <f t="shared" si="55"/>
        <v>3</v>
      </c>
      <c r="F114" s="30" t="str">
        <f t="shared" si="56"/>
        <v>32</v>
      </c>
      <c r="G114" s="26" t="str">
        <f t="shared" si="44"/>
        <v>322</v>
      </c>
      <c r="H114" s="86" t="s">
        <v>72</v>
      </c>
      <c r="I114" s="86" t="s">
        <v>74</v>
      </c>
      <c r="J114" s="87" t="e">
        <f>SUMIFS([2]Anl_20250630!$K$6:$K$173,[2]Anl_20250630!$A$6:$A$173,A114)</f>
        <v>#VALUE!</v>
      </c>
      <c r="K114" s="87">
        <f>_xlfn.IFNA(VLOOKUP(T114,[3]Rashodi_2026_RI!$A$18:$Z$10000,14,FALSE),0)</f>
        <v>5700</v>
      </c>
      <c r="L114" s="87">
        <f>_xlfn.IFNA(VLOOKUP(T114,[3]Rashodi_2026_RI!$A$18:$Z$10000,15,FALSE),0)</f>
        <v>1130.73</v>
      </c>
      <c r="M114" s="87" t="e">
        <f t="shared" si="48"/>
        <v>#VALUE!</v>
      </c>
      <c r="N114" s="87">
        <f t="shared" si="49"/>
        <v>19.837368421052631</v>
      </c>
      <c r="O114" s="31">
        <v>578.17999999999995</v>
      </c>
      <c r="P114" s="25">
        <v>1756.59</v>
      </c>
      <c r="T114" s="25" t="str">
        <f t="shared" si="52"/>
        <v>A2124015213221</v>
      </c>
    </row>
    <row r="115" spans="1:20" ht="20.100000000000001" hidden="1" customHeight="1" outlineLevel="1" x14ac:dyDescent="0.2">
      <c r="A115" s="25" t="str">
        <f t="shared" si="57"/>
        <v>A2124015213222</v>
      </c>
      <c r="B115" s="30" t="s">
        <v>472</v>
      </c>
      <c r="C115" s="26" t="s">
        <v>327</v>
      </c>
      <c r="D115" s="30">
        <v>521</v>
      </c>
      <c r="E115" s="30" t="str">
        <f t="shared" si="55"/>
        <v>3</v>
      </c>
      <c r="F115" s="30" t="str">
        <f t="shared" si="56"/>
        <v>32</v>
      </c>
      <c r="G115" s="26" t="str">
        <f t="shared" si="44"/>
        <v>322</v>
      </c>
      <c r="H115" s="86" t="s">
        <v>75</v>
      </c>
      <c r="I115" s="86" t="s">
        <v>77</v>
      </c>
      <c r="J115" s="87" t="e">
        <f>SUMIFS([2]Anl_20250630!$K$6:$K$173,[2]Anl_20250630!$A$6:$A$173,A115)</f>
        <v>#VALUE!</v>
      </c>
      <c r="K115" s="87">
        <f>_xlfn.IFNA(VLOOKUP(T115,[3]Rashodi_2026_RI!$A$18:$Z$10000,14,FALSE),0)</f>
        <v>5200</v>
      </c>
      <c r="L115" s="87">
        <f>_xlfn.IFNA(VLOOKUP(T115,[3]Rashodi_2026_RI!$A$18:$Z$10000,15,FALSE),0)</f>
        <v>83.45</v>
      </c>
      <c r="M115" s="87" t="e">
        <f t="shared" si="48"/>
        <v>#VALUE!</v>
      </c>
      <c r="N115" s="87">
        <f t="shared" si="49"/>
        <v>1.6048076923076926</v>
      </c>
      <c r="O115" s="31">
        <v>11.93</v>
      </c>
      <c r="P115" s="25">
        <v>1165.8</v>
      </c>
      <c r="T115" s="25" t="str">
        <f t="shared" si="52"/>
        <v>A2124015213222</v>
      </c>
    </row>
    <row r="116" spans="1:20" ht="20.100000000000001" hidden="1" customHeight="1" outlineLevel="1" x14ac:dyDescent="0.2">
      <c r="A116" s="25" t="str">
        <f t="shared" si="57"/>
        <v>A2124015213223</v>
      </c>
      <c r="B116" s="30" t="s">
        <v>472</v>
      </c>
      <c r="C116" s="26" t="s">
        <v>327</v>
      </c>
      <c r="D116" s="30">
        <v>521</v>
      </c>
      <c r="E116" s="30" t="str">
        <f t="shared" si="55"/>
        <v>3</v>
      </c>
      <c r="F116" s="30" t="str">
        <f t="shared" si="56"/>
        <v>32</v>
      </c>
      <c r="G116" s="26" t="str">
        <f t="shared" si="44"/>
        <v>322</v>
      </c>
      <c r="H116" s="86" t="s">
        <v>78</v>
      </c>
      <c r="I116" s="86" t="s">
        <v>80</v>
      </c>
      <c r="J116" s="87" t="e">
        <f>SUMIFS([2]Anl_20250630!$K$6:$K$173,[2]Anl_20250630!$A$6:$A$173,A116)</f>
        <v>#VALUE!</v>
      </c>
      <c r="K116" s="87">
        <f>_xlfn.IFNA(VLOOKUP(T116,[3]Rashodi_2026_RI!$A$18:$Z$10000,14,FALSE),0)</f>
        <v>12000</v>
      </c>
      <c r="L116" s="87">
        <f>_xlfn.IFNA(VLOOKUP(T116,[3]Rashodi_2026_RI!$A$18:$Z$10000,15,FALSE),0)</f>
        <v>13144.509999999991</v>
      </c>
      <c r="M116" s="87" t="e">
        <f t="shared" si="48"/>
        <v>#VALUE!</v>
      </c>
      <c r="N116" s="87">
        <f t="shared" si="49"/>
        <v>109.53758333333326</v>
      </c>
      <c r="O116" s="31"/>
      <c r="P116" s="25">
        <v>11589.33</v>
      </c>
      <c r="T116" s="25" t="str">
        <f t="shared" si="52"/>
        <v>A2124015213223</v>
      </c>
    </row>
    <row r="117" spans="1:20" ht="20.100000000000001" hidden="1" customHeight="1" outlineLevel="1" x14ac:dyDescent="0.2">
      <c r="A117" s="25" t="str">
        <f t="shared" si="57"/>
        <v>A2124015213224</v>
      </c>
      <c r="B117" s="30" t="s">
        <v>472</v>
      </c>
      <c r="C117" s="26" t="s">
        <v>327</v>
      </c>
      <c r="D117" s="30">
        <v>521</v>
      </c>
      <c r="E117" s="30" t="str">
        <f t="shared" si="55"/>
        <v>3</v>
      </c>
      <c r="F117" s="30" t="str">
        <f t="shared" si="56"/>
        <v>32</v>
      </c>
      <c r="G117" s="26" t="str">
        <f t="shared" si="44"/>
        <v>322</v>
      </c>
      <c r="H117" s="86" t="s">
        <v>81</v>
      </c>
      <c r="I117" s="86" t="s">
        <v>83</v>
      </c>
      <c r="J117" s="87" t="e">
        <f>SUMIFS([2]Anl_20250630!$K$6:$K$173,[2]Anl_20250630!$A$6:$A$173,A117)</f>
        <v>#VALUE!</v>
      </c>
      <c r="K117" s="87">
        <f>_xlfn.IFNA(VLOOKUP(T117,[3]Rashodi_2026_RI!$A$18:$Z$10000,14,FALSE),0)</f>
        <v>6000</v>
      </c>
      <c r="L117" s="87">
        <f>_xlfn.IFNA(VLOOKUP(T117,[3]Rashodi_2026_RI!$A$18:$Z$10000,15,FALSE),0)</f>
        <v>0</v>
      </c>
      <c r="M117" s="87" t="e">
        <f t="shared" si="48"/>
        <v>#VALUE!</v>
      </c>
      <c r="N117" s="87">
        <f t="shared" si="49"/>
        <v>0</v>
      </c>
      <c r="O117" s="31"/>
      <c r="P117" s="25">
        <v>1053.1400000000001</v>
      </c>
      <c r="Q117" s="25">
        <v>68.08</v>
      </c>
      <c r="T117" s="25" t="str">
        <f t="shared" si="52"/>
        <v>A2124015213224</v>
      </c>
    </row>
    <row r="118" spans="1:20" ht="20.100000000000001" hidden="1" customHeight="1" outlineLevel="1" x14ac:dyDescent="0.2">
      <c r="A118" s="25" t="str">
        <f t="shared" si="57"/>
        <v>A2124015213225</v>
      </c>
      <c r="B118" s="30" t="s">
        <v>472</v>
      </c>
      <c r="C118" s="26" t="s">
        <v>327</v>
      </c>
      <c r="D118" s="30">
        <v>521</v>
      </c>
      <c r="E118" s="30" t="str">
        <f t="shared" si="55"/>
        <v>3</v>
      </c>
      <c r="F118" s="30" t="str">
        <f t="shared" si="56"/>
        <v>32</v>
      </c>
      <c r="G118" s="26" t="str">
        <f t="shared" si="44"/>
        <v>322</v>
      </c>
      <c r="H118" s="86" t="s">
        <v>84</v>
      </c>
      <c r="I118" s="86" t="s">
        <v>86</v>
      </c>
      <c r="J118" s="87" t="e">
        <f>SUMIFS([2]Anl_20250630!$K$6:$K$173,[2]Anl_20250630!$A$6:$A$173,A118)</f>
        <v>#VALUE!</v>
      </c>
      <c r="K118" s="87">
        <f>_xlfn.IFNA(VLOOKUP(T118,[3]Rashodi_2026_RI!$A$18:$Z$10000,14,FALSE),0)</f>
        <v>6000</v>
      </c>
      <c r="L118" s="87">
        <f>_xlfn.IFNA(VLOOKUP(T118,[3]Rashodi_2026_RI!$A$18:$Z$10000,15,FALSE),0)</f>
        <v>0</v>
      </c>
      <c r="M118" s="87" t="e">
        <f t="shared" si="48"/>
        <v>#VALUE!</v>
      </c>
      <c r="N118" s="87">
        <f t="shared" si="49"/>
        <v>0</v>
      </c>
      <c r="O118" s="31"/>
      <c r="P118" s="25">
        <v>697.75</v>
      </c>
      <c r="T118" s="25" t="str">
        <f t="shared" si="52"/>
        <v>A2124015213225</v>
      </c>
    </row>
    <row r="119" spans="1:20" ht="20.100000000000001" hidden="1" customHeight="1" outlineLevel="1" x14ac:dyDescent="0.2">
      <c r="A119" s="25" t="str">
        <f t="shared" si="57"/>
        <v>A2124015213227</v>
      </c>
      <c r="B119" s="30" t="s">
        <v>472</v>
      </c>
      <c r="C119" s="26" t="s">
        <v>327</v>
      </c>
      <c r="D119" s="30">
        <v>521</v>
      </c>
      <c r="E119" s="30" t="str">
        <f t="shared" si="55"/>
        <v>3</v>
      </c>
      <c r="F119" s="30" t="str">
        <f t="shared" si="56"/>
        <v>32</v>
      </c>
      <c r="G119" s="26" t="str">
        <f t="shared" si="44"/>
        <v>322</v>
      </c>
      <c r="H119" s="86" t="s">
        <v>138</v>
      </c>
      <c r="I119" s="86" t="s">
        <v>140</v>
      </c>
      <c r="J119" s="87" t="e">
        <f>SUMIFS([2]Anl_20250630!$K$6:$K$173,[2]Anl_20250630!$A$6:$A$173,A119)</f>
        <v>#VALUE!</v>
      </c>
      <c r="K119" s="87">
        <f>_xlfn.IFNA(VLOOKUP(T119,[3]Rashodi_2026_RI!$A$18:$Z$10000,14,FALSE),0)</f>
        <v>200</v>
      </c>
      <c r="L119" s="87">
        <f>_xlfn.IFNA(VLOOKUP(T119,[3]Rashodi_2026_RI!$A$18:$Z$10000,15,FALSE),0)</f>
        <v>0</v>
      </c>
      <c r="M119" s="87" t="e">
        <f t="shared" si="48"/>
        <v>#VALUE!</v>
      </c>
      <c r="N119" s="87">
        <f t="shared" si="49"/>
        <v>0</v>
      </c>
      <c r="O119" s="31"/>
      <c r="T119" s="25" t="str">
        <f t="shared" si="52"/>
        <v>A2124015213227</v>
      </c>
    </row>
    <row r="120" spans="1:20" ht="20.100000000000001" hidden="1" customHeight="1" outlineLevel="1" x14ac:dyDescent="0.2">
      <c r="A120" s="25" t="str">
        <f t="shared" si="57"/>
        <v>A2124015213231</v>
      </c>
      <c r="B120" s="30" t="s">
        <v>472</v>
      </c>
      <c r="C120" s="26" t="s">
        <v>327</v>
      </c>
      <c r="D120" s="30">
        <v>521</v>
      </c>
      <c r="E120" s="30" t="str">
        <f t="shared" si="55"/>
        <v>3</v>
      </c>
      <c r="F120" s="30" t="str">
        <f t="shared" si="56"/>
        <v>32</v>
      </c>
      <c r="G120" s="26" t="str">
        <f t="shared" si="44"/>
        <v>323</v>
      </c>
      <c r="H120" s="86" t="s">
        <v>87</v>
      </c>
      <c r="I120" s="86" t="s">
        <v>89</v>
      </c>
      <c r="J120" s="87" t="e">
        <f>SUMIFS([2]Anl_20250630!$K$6:$K$173,[2]Anl_20250630!$A$6:$A$173,A120)</f>
        <v>#VALUE!</v>
      </c>
      <c r="K120" s="87">
        <f>_xlfn.IFNA(VLOOKUP(T120,[3]Rashodi_2026_RI!$A$18:$Z$10000,14,FALSE),0)</f>
        <v>4000</v>
      </c>
      <c r="L120" s="87">
        <f>_xlfn.IFNA(VLOOKUP(T120,[3]Rashodi_2026_RI!$A$18:$Z$10000,15,FALSE),0)</f>
        <v>1320.52</v>
      </c>
      <c r="M120" s="87" t="e">
        <f t="shared" si="48"/>
        <v>#VALUE!</v>
      </c>
      <c r="N120" s="87">
        <f t="shared" si="49"/>
        <v>33.012999999999998</v>
      </c>
      <c r="O120" s="31">
        <v>61.67</v>
      </c>
      <c r="P120" s="25">
        <v>2274.4699999999998</v>
      </c>
      <c r="T120" s="25" t="str">
        <f t="shared" si="52"/>
        <v>A2124015213231</v>
      </c>
    </row>
    <row r="121" spans="1:20" ht="20.100000000000001" hidden="1" customHeight="1" outlineLevel="1" x14ac:dyDescent="0.2">
      <c r="A121" s="25" t="str">
        <f t="shared" si="57"/>
        <v>A2124015213232</v>
      </c>
      <c r="B121" s="30" t="s">
        <v>472</v>
      </c>
      <c r="C121" s="26" t="s">
        <v>327</v>
      </c>
      <c r="D121" s="30">
        <v>521</v>
      </c>
      <c r="E121" s="30" t="str">
        <f t="shared" si="55"/>
        <v>3</v>
      </c>
      <c r="F121" s="30" t="str">
        <f t="shared" si="56"/>
        <v>32</v>
      </c>
      <c r="G121" s="26" t="str">
        <f t="shared" si="44"/>
        <v>323</v>
      </c>
      <c r="H121" s="86" t="s">
        <v>38</v>
      </c>
      <c r="I121" s="86" t="s">
        <v>40</v>
      </c>
      <c r="J121" s="87" t="e">
        <f>SUMIFS([2]Anl_20250630!$K$6:$K$173,[2]Anl_20250630!$A$6:$A$173,A121)</f>
        <v>#VALUE!</v>
      </c>
      <c r="K121" s="87">
        <f>_xlfn.IFNA(VLOOKUP(T121,[3]Rashodi_2026_RI!$A$18:$Z$10000,14,FALSE),0)</f>
        <v>22200</v>
      </c>
      <c r="L121" s="87">
        <f>_xlfn.IFNA(VLOOKUP(T121,[3]Rashodi_2026_RI!$A$18:$Z$10000,15,FALSE),0)</f>
        <v>2556.73</v>
      </c>
      <c r="M121" s="87" t="e">
        <f t="shared" si="48"/>
        <v>#VALUE!</v>
      </c>
      <c r="N121" s="87">
        <f t="shared" si="49"/>
        <v>11.516801801801801</v>
      </c>
      <c r="O121" s="31"/>
      <c r="P121" s="25">
        <v>7921.78</v>
      </c>
      <c r="Q121" s="25">
        <v>8771.64</v>
      </c>
      <c r="T121" s="25" t="str">
        <f t="shared" si="52"/>
        <v>A2124015213232</v>
      </c>
    </row>
    <row r="122" spans="1:20" ht="20.100000000000001" hidden="1" customHeight="1" outlineLevel="1" x14ac:dyDescent="0.2">
      <c r="A122" s="25" t="str">
        <f t="shared" si="57"/>
        <v>A2124015213234</v>
      </c>
      <c r="B122" s="30" t="s">
        <v>472</v>
      </c>
      <c r="C122" s="26" t="s">
        <v>327</v>
      </c>
      <c r="D122" s="30">
        <v>521</v>
      </c>
      <c r="E122" s="30" t="str">
        <f t="shared" si="55"/>
        <v>3</v>
      </c>
      <c r="F122" s="30" t="str">
        <f t="shared" si="56"/>
        <v>32</v>
      </c>
      <c r="G122" s="26" t="str">
        <f t="shared" si="44"/>
        <v>323</v>
      </c>
      <c r="H122" s="86" t="s">
        <v>94</v>
      </c>
      <c r="I122" s="86" t="s">
        <v>96</v>
      </c>
      <c r="J122" s="87" t="e">
        <f>SUMIFS([2]Anl_20250630!$K$6:$K$173,[2]Anl_20250630!$A$6:$A$173,A122)</f>
        <v>#VALUE!</v>
      </c>
      <c r="K122" s="87">
        <f>_xlfn.IFNA(VLOOKUP(T122,[3]Rashodi_2026_RI!$A$18:$Z$10000,14,FALSE),0)</f>
        <v>8700</v>
      </c>
      <c r="L122" s="87">
        <f>_xlfn.IFNA(VLOOKUP(T122,[3]Rashodi_2026_RI!$A$18:$Z$10000,15,FALSE),0)</f>
        <v>3875.52</v>
      </c>
      <c r="M122" s="87" t="e">
        <f t="shared" si="48"/>
        <v>#VALUE!</v>
      </c>
      <c r="N122" s="87">
        <f t="shared" si="49"/>
        <v>44.546206896551723</v>
      </c>
      <c r="O122" s="31"/>
      <c r="P122" s="25">
        <v>9361.1200000000008</v>
      </c>
      <c r="T122" s="25" t="str">
        <f t="shared" si="52"/>
        <v>A2124015213234</v>
      </c>
    </row>
    <row r="123" spans="1:20" ht="20.100000000000001" hidden="1" customHeight="1" outlineLevel="1" x14ac:dyDescent="0.2">
      <c r="A123" s="25" t="str">
        <f t="shared" si="57"/>
        <v>A2124015213235</v>
      </c>
      <c r="B123" s="30" t="s">
        <v>472</v>
      </c>
      <c r="C123" s="26" t="s">
        <v>327</v>
      </c>
      <c r="D123" s="30">
        <v>521</v>
      </c>
      <c r="E123" s="30" t="str">
        <f t="shared" si="55"/>
        <v>3</v>
      </c>
      <c r="F123" s="30" t="str">
        <f t="shared" si="56"/>
        <v>32</v>
      </c>
      <c r="G123" s="26" t="str">
        <f t="shared" si="44"/>
        <v>323</v>
      </c>
      <c r="H123" s="86" t="s">
        <v>97</v>
      </c>
      <c r="I123" s="86" t="s">
        <v>99</v>
      </c>
      <c r="J123" s="87" t="e">
        <f>SUMIFS([2]Anl_20250630!$K$6:$K$173,[2]Anl_20250630!$A$6:$A$173,A123)</f>
        <v>#VALUE!</v>
      </c>
      <c r="K123" s="87">
        <f>_xlfn.IFNA(VLOOKUP(T123,[3]Rashodi_2026_RI!$A$18:$Z$10000,14,FALSE),0)</f>
        <v>1300</v>
      </c>
      <c r="L123" s="87">
        <f>_xlfn.IFNA(VLOOKUP(T123,[3]Rashodi_2026_RI!$A$18:$Z$10000,15,FALSE),0)</f>
        <v>1885.14</v>
      </c>
      <c r="M123" s="87" t="e">
        <f t="shared" si="48"/>
        <v>#VALUE!</v>
      </c>
      <c r="N123" s="87">
        <f t="shared" si="49"/>
        <v>145.01076923076923</v>
      </c>
      <c r="O123" s="31"/>
      <c r="Q123" s="25">
        <v>3651</v>
      </c>
      <c r="T123" s="25" t="str">
        <f t="shared" si="52"/>
        <v>A2124015213235</v>
      </c>
    </row>
    <row r="124" spans="1:20" ht="20.100000000000001" hidden="1" customHeight="1" outlineLevel="1" x14ac:dyDescent="0.2">
      <c r="A124" s="25" t="str">
        <f t="shared" si="57"/>
        <v>A2124015213236</v>
      </c>
      <c r="B124" s="30" t="s">
        <v>472</v>
      </c>
      <c r="C124" s="26" t="s">
        <v>327</v>
      </c>
      <c r="D124" s="30">
        <v>521</v>
      </c>
      <c r="E124" s="30" t="str">
        <f t="shared" si="55"/>
        <v>3</v>
      </c>
      <c r="F124" s="30" t="str">
        <f t="shared" si="56"/>
        <v>32</v>
      </c>
      <c r="G124" s="26" t="str">
        <f t="shared" si="44"/>
        <v>323</v>
      </c>
      <c r="H124" s="86" t="s">
        <v>100</v>
      </c>
      <c r="I124" s="86" t="s">
        <v>102</v>
      </c>
      <c r="J124" s="87" t="e">
        <f>SUMIFS([2]Anl_20250630!$K$6:$K$173,[2]Anl_20250630!$A$6:$A$173,A124)</f>
        <v>#VALUE!</v>
      </c>
      <c r="K124" s="87">
        <f>_xlfn.IFNA(VLOOKUP(T124,[3]Rashodi_2026_RI!$A$18:$Z$10000,14,FALSE),0)</f>
        <v>600</v>
      </c>
      <c r="L124" s="87">
        <f>_xlfn.IFNA(VLOOKUP(T124,[3]Rashodi_2026_RI!$A$18:$Z$10000,15,FALSE),0)</f>
        <v>0</v>
      </c>
      <c r="M124" s="87" t="e">
        <f t="shared" si="48"/>
        <v>#VALUE!</v>
      </c>
      <c r="N124" s="87">
        <f t="shared" si="49"/>
        <v>0</v>
      </c>
      <c r="O124" s="31"/>
      <c r="T124" s="25" t="str">
        <f t="shared" si="52"/>
        <v>A2124015213236</v>
      </c>
    </row>
    <row r="125" spans="1:20" ht="20.100000000000001" hidden="1" customHeight="1" outlineLevel="1" x14ac:dyDescent="0.2">
      <c r="A125" s="25" t="str">
        <f t="shared" si="57"/>
        <v>A2124015213237</v>
      </c>
      <c r="B125" s="30" t="s">
        <v>472</v>
      </c>
      <c r="C125" s="26" t="s">
        <v>327</v>
      </c>
      <c r="D125" s="30">
        <v>521</v>
      </c>
      <c r="E125" s="30" t="str">
        <f t="shared" si="55"/>
        <v>3</v>
      </c>
      <c r="F125" s="30" t="str">
        <f t="shared" si="56"/>
        <v>32</v>
      </c>
      <c r="G125" s="26" t="str">
        <f t="shared" si="44"/>
        <v>323</v>
      </c>
      <c r="H125" s="86" t="s">
        <v>41</v>
      </c>
      <c r="I125" s="86" t="s">
        <v>43</v>
      </c>
      <c r="J125" s="87" t="e">
        <f>SUMIFS([2]Anl_20250630!$K$6:$K$173,[2]Anl_20250630!$A$6:$A$173,A125)</f>
        <v>#VALUE!</v>
      </c>
      <c r="K125" s="87">
        <f>_xlfn.IFNA(VLOOKUP(T125,[3]Rashodi_2026_RI!$A$18:$Z$10000,14,FALSE),0)</f>
        <v>2000</v>
      </c>
      <c r="L125" s="87">
        <f>_xlfn.IFNA(VLOOKUP(T125,[3]Rashodi_2026_RI!$A$18:$Z$10000,15,FALSE),0)</f>
        <v>0</v>
      </c>
      <c r="M125" s="87" t="e">
        <f t="shared" si="48"/>
        <v>#VALUE!</v>
      </c>
      <c r="N125" s="87">
        <f t="shared" si="49"/>
        <v>0</v>
      </c>
      <c r="O125" s="31">
        <v>740</v>
      </c>
      <c r="T125" s="25" t="str">
        <f t="shared" si="52"/>
        <v>A2124015213237</v>
      </c>
    </row>
    <row r="126" spans="1:20" ht="20.100000000000001" hidden="1" customHeight="1" outlineLevel="1" x14ac:dyDescent="0.2">
      <c r="A126" s="25" t="str">
        <f t="shared" si="57"/>
        <v>A2124015213238</v>
      </c>
      <c r="B126" s="30" t="s">
        <v>472</v>
      </c>
      <c r="C126" s="26" t="s">
        <v>327</v>
      </c>
      <c r="D126" s="30">
        <v>521</v>
      </c>
      <c r="E126" s="30" t="str">
        <f t="shared" si="55"/>
        <v>3</v>
      </c>
      <c r="F126" s="30" t="str">
        <f t="shared" si="56"/>
        <v>32</v>
      </c>
      <c r="G126" s="26" t="str">
        <f t="shared" si="44"/>
        <v>323</v>
      </c>
      <c r="H126" s="86" t="s">
        <v>104</v>
      </c>
      <c r="I126" s="86" t="s">
        <v>106</v>
      </c>
      <c r="J126" s="87" t="e">
        <f>SUMIFS([2]Anl_20250630!$K$6:$K$173,[2]Anl_20250630!$A$6:$A$173,A126)</f>
        <v>#VALUE!</v>
      </c>
      <c r="K126" s="87">
        <f>_xlfn.IFNA(VLOOKUP(T126,[3]Rashodi_2026_RI!$A$18:$Z$10000,14,FALSE),0)</f>
        <v>5400</v>
      </c>
      <c r="L126" s="87">
        <f>_xlfn.IFNA(VLOOKUP(T126,[3]Rashodi_2026_RI!$A$18:$Z$10000,15,FALSE),0)</f>
        <v>125.55</v>
      </c>
      <c r="M126" s="87" t="e">
        <f t="shared" si="48"/>
        <v>#VALUE!</v>
      </c>
      <c r="N126" s="87">
        <f t="shared" si="49"/>
        <v>2.3250000000000002</v>
      </c>
      <c r="O126" s="31"/>
      <c r="P126" s="25">
        <v>123.55</v>
      </c>
      <c r="T126" s="25" t="str">
        <f t="shared" si="52"/>
        <v>A2124015213238</v>
      </c>
    </row>
    <row r="127" spans="1:20" ht="20.100000000000001" hidden="1" customHeight="1" outlineLevel="1" x14ac:dyDescent="0.2">
      <c r="A127" s="25" t="str">
        <f t="shared" si="57"/>
        <v>A2124015213239</v>
      </c>
      <c r="B127" s="30" t="s">
        <v>472</v>
      </c>
      <c r="C127" s="26" t="s">
        <v>327</v>
      </c>
      <c r="D127" s="30">
        <v>521</v>
      </c>
      <c r="E127" s="30" t="str">
        <f t="shared" si="55"/>
        <v>3</v>
      </c>
      <c r="F127" s="30" t="str">
        <f t="shared" si="56"/>
        <v>32</v>
      </c>
      <c r="G127" s="26" t="str">
        <f t="shared" si="44"/>
        <v>323</v>
      </c>
      <c r="H127" s="86" t="s">
        <v>126</v>
      </c>
      <c r="I127" s="86" t="s">
        <v>128</v>
      </c>
      <c r="J127" s="87" t="e">
        <f>SUMIFS([2]Anl_20250630!$K$6:$K$173,[2]Anl_20250630!$A$6:$A$173,A127)</f>
        <v>#VALUE!</v>
      </c>
      <c r="K127" s="87">
        <f>_xlfn.IFNA(VLOOKUP(T127,[3]Rashodi_2026_RI!$A$18:$Z$10000,14,FALSE),0)</f>
        <v>3900</v>
      </c>
      <c r="L127" s="87">
        <f>_xlfn.IFNA(VLOOKUP(T127,[3]Rashodi_2026_RI!$A$18:$Z$10000,15,FALSE),0)</f>
        <v>6964.21</v>
      </c>
      <c r="M127" s="87" t="e">
        <f t="shared" si="48"/>
        <v>#VALUE!</v>
      </c>
      <c r="N127" s="87">
        <f t="shared" si="49"/>
        <v>178.56948717948717</v>
      </c>
      <c r="O127" s="31">
        <v>97.5</v>
      </c>
      <c r="P127" s="25">
        <v>3669.01</v>
      </c>
      <c r="Q127" s="25">
        <v>1148.83</v>
      </c>
      <c r="T127" s="25" t="str">
        <f t="shared" si="52"/>
        <v>A2124015213239</v>
      </c>
    </row>
    <row r="128" spans="1:20" ht="20.100000000000001" hidden="1" customHeight="1" outlineLevel="1" x14ac:dyDescent="0.2">
      <c r="A128" s="25" t="str">
        <f t="shared" si="57"/>
        <v>A2124015213241</v>
      </c>
      <c r="B128" s="30" t="s">
        <v>472</v>
      </c>
      <c r="C128" s="26" t="s">
        <v>327</v>
      </c>
      <c r="D128" s="30">
        <v>521</v>
      </c>
      <c r="E128" s="30" t="str">
        <f t="shared" si="55"/>
        <v>3</v>
      </c>
      <c r="F128" s="30" t="str">
        <f t="shared" si="56"/>
        <v>32</v>
      </c>
      <c r="G128" s="26" t="str">
        <f t="shared" si="44"/>
        <v>324</v>
      </c>
      <c r="H128" s="86" t="s">
        <v>150</v>
      </c>
      <c r="I128" s="86" t="s">
        <v>152</v>
      </c>
      <c r="J128" s="87" t="e">
        <f>SUMIFS([2]Anl_20250630!$K$6:$K$173,[2]Anl_20250630!$A$6:$A$173,A128)</f>
        <v>#VALUE!</v>
      </c>
      <c r="K128" s="87">
        <f>_xlfn.IFNA(VLOOKUP(T128,[3]Rashodi_2026_RI!$A$18:$Z$10000,14,FALSE),0)</f>
        <v>0</v>
      </c>
      <c r="L128" s="87">
        <f>_xlfn.IFNA(VLOOKUP(T128,[3]Rashodi_2026_RI!$A$18:$Z$10000,15,FALSE),0)</f>
        <v>0</v>
      </c>
      <c r="M128" s="87" t="e">
        <f t="shared" si="48"/>
        <v>#VALUE!</v>
      </c>
      <c r="N128" s="87">
        <f t="shared" si="49"/>
        <v>0</v>
      </c>
      <c r="O128" s="31"/>
      <c r="T128" s="25" t="str">
        <f t="shared" si="52"/>
        <v>A2124015213241</v>
      </c>
    </row>
    <row r="129" spans="1:22" ht="20.100000000000001" hidden="1" customHeight="1" outlineLevel="1" x14ac:dyDescent="0.2">
      <c r="A129" s="25" t="str">
        <f t="shared" si="57"/>
        <v>A2124015213292</v>
      </c>
      <c r="B129" s="30" t="s">
        <v>472</v>
      </c>
      <c r="C129" s="26" t="s">
        <v>327</v>
      </c>
      <c r="D129" s="30">
        <v>521</v>
      </c>
      <c r="E129" s="30" t="str">
        <f t="shared" si="55"/>
        <v>3</v>
      </c>
      <c r="F129" s="30" t="str">
        <f t="shared" si="56"/>
        <v>32</v>
      </c>
      <c r="G129" s="26" t="str">
        <f t="shared" si="44"/>
        <v>329</v>
      </c>
      <c r="H129" s="86" t="s">
        <v>110</v>
      </c>
      <c r="I129" s="86" t="s">
        <v>112</v>
      </c>
      <c r="J129" s="87" t="e">
        <f>SUMIFS([2]Anl_20250630!$K$6:$K$173,[2]Anl_20250630!$A$6:$A$173,A129)</f>
        <v>#VALUE!</v>
      </c>
      <c r="K129" s="87">
        <f>_xlfn.IFNA(VLOOKUP(T129,[3]Rashodi_2026_RI!$A$18:$Z$10000,14,FALSE),0)</f>
        <v>2500</v>
      </c>
      <c r="L129" s="87">
        <f>_xlfn.IFNA(VLOOKUP(T129,[3]Rashodi_2026_RI!$A$18:$Z$10000,15,FALSE),0)</f>
        <v>299.08</v>
      </c>
      <c r="M129" s="87" t="e">
        <f t="shared" si="48"/>
        <v>#VALUE!</v>
      </c>
      <c r="N129" s="87">
        <f t="shared" si="49"/>
        <v>11.963199999999999</v>
      </c>
      <c r="O129" s="31"/>
      <c r="P129" s="25">
        <v>1668.05</v>
      </c>
      <c r="T129" s="25" t="str">
        <f t="shared" si="52"/>
        <v>A2124015213292</v>
      </c>
    </row>
    <row r="130" spans="1:22" ht="20.100000000000001" hidden="1" customHeight="1" outlineLevel="1" x14ac:dyDescent="0.2">
      <c r="A130" s="25" t="str">
        <f t="shared" si="57"/>
        <v>A2124015213293</v>
      </c>
      <c r="B130" s="30" t="s">
        <v>472</v>
      </c>
      <c r="C130" s="26" t="s">
        <v>327</v>
      </c>
      <c r="D130" s="30">
        <v>521</v>
      </c>
      <c r="E130" s="30" t="str">
        <f t="shared" si="55"/>
        <v>3</v>
      </c>
      <c r="F130" s="30" t="str">
        <f t="shared" si="56"/>
        <v>32</v>
      </c>
      <c r="G130" s="26" t="str">
        <f t="shared" si="44"/>
        <v>329</v>
      </c>
      <c r="H130" s="86" t="s">
        <v>154</v>
      </c>
      <c r="I130" s="86" t="s">
        <v>156</v>
      </c>
      <c r="J130" s="87" t="e">
        <f>SUMIFS([2]Anl_20250630!$K$6:$K$173,[2]Anl_20250630!$A$6:$A$173,A130)</f>
        <v>#VALUE!</v>
      </c>
      <c r="K130" s="87">
        <f>_xlfn.IFNA(VLOOKUP(T130,[3]Rashodi_2026_RI!$A$18:$Z$10000,14,FALSE),0)</f>
        <v>1500</v>
      </c>
      <c r="L130" s="87">
        <f>_xlfn.IFNA(VLOOKUP(T130,[3]Rashodi_2026_RI!$A$18:$Z$10000,15,FALSE),0)</f>
        <v>583.23</v>
      </c>
      <c r="M130" s="87" t="e">
        <f t="shared" si="48"/>
        <v>#VALUE!</v>
      </c>
      <c r="N130" s="87">
        <f t="shared" si="49"/>
        <v>38.881999999999998</v>
      </c>
      <c r="O130" s="31">
        <v>1162.48</v>
      </c>
      <c r="P130" s="25">
        <v>157.13</v>
      </c>
      <c r="T130" s="25" t="str">
        <f t="shared" si="52"/>
        <v>A2124015213293</v>
      </c>
    </row>
    <row r="131" spans="1:22" ht="20.100000000000001" hidden="1" customHeight="1" outlineLevel="1" x14ac:dyDescent="0.2">
      <c r="A131" s="25" t="str">
        <f t="shared" si="57"/>
        <v>A2124015213294</v>
      </c>
      <c r="B131" s="30" t="s">
        <v>472</v>
      </c>
      <c r="C131" s="26" t="s">
        <v>327</v>
      </c>
      <c r="D131" s="30">
        <v>521</v>
      </c>
      <c r="E131" s="30" t="str">
        <f t="shared" si="55"/>
        <v>3</v>
      </c>
      <c r="F131" s="30" t="str">
        <f t="shared" si="56"/>
        <v>32</v>
      </c>
      <c r="G131" s="26" t="str">
        <f t="shared" si="44"/>
        <v>329</v>
      </c>
      <c r="H131" s="86" t="s">
        <v>113</v>
      </c>
      <c r="I131" s="86" t="s">
        <v>115</v>
      </c>
      <c r="J131" s="87" t="e">
        <f>SUMIFS([2]Anl_20250630!$K$6:$K$173,[2]Anl_20250630!$A$6:$A$173,A131)</f>
        <v>#VALUE!</v>
      </c>
      <c r="K131" s="87">
        <f>_xlfn.IFNA(VLOOKUP(T131,[3]Rashodi_2026_RI!$A$18:$Z$10000,14,FALSE),0)</f>
        <v>0</v>
      </c>
      <c r="L131" s="87">
        <f>_xlfn.IFNA(VLOOKUP(T131,[3]Rashodi_2026_RI!$A$18:$Z$10000,15,FALSE),0)</f>
        <v>0</v>
      </c>
      <c r="M131" s="87" t="e">
        <f t="shared" si="48"/>
        <v>#VALUE!</v>
      </c>
      <c r="N131" s="87">
        <f t="shared" si="49"/>
        <v>0</v>
      </c>
      <c r="O131" s="31"/>
      <c r="T131" s="25" t="str">
        <f t="shared" si="52"/>
        <v>A2124015213294</v>
      </c>
    </row>
    <row r="132" spans="1:22" ht="20.100000000000001" hidden="1" customHeight="1" outlineLevel="1" x14ac:dyDescent="0.2">
      <c r="A132" s="25" t="str">
        <f t="shared" si="57"/>
        <v>A2124015213295</v>
      </c>
      <c r="B132" s="30" t="s">
        <v>472</v>
      </c>
      <c r="C132" s="26" t="s">
        <v>327</v>
      </c>
      <c r="D132" s="30">
        <v>521</v>
      </c>
      <c r="E132" s="30" t="str">
        <f t="shared" si="55"/>
        <v>3</v>
      </c>
      <c r="F132" s="30" t="str">
        <f t="shared" si="56"/>
        <v>32</v>
      </c>
      <c r="G132" s="26" t="str">
        <f t="shared" si="44"/>
        <v>329</v>
      </c>
      <c r="H132" s="86" t="s">
        <v>116</v>
      </c>
      <c r="I132" s="86" t="s">
        <v>118</v>
      </c>
      <c r="J132" s="87" t="e">
        <f>SUMIFS([2]Anl_20250630!$K$6:$K$173,[2]Anl_20250630!$A$6:$A$173,A132)</f>
        <v>#VALUE!</v>
      </c>
      <c r="K132" s="87">
        <f>_xlfn.IFNA(VLOOKUP(T132,[3]Rashodi_2026_RI!$A$18:$Z$10000,14,FALSE),0)</f>
        <v>600</v>
      </c>
      <c r="L132" s="87">
        <f>_xlfn.IFNA(VLOOKUP(T132,[3]Rashodi_2026_RI!$A$18:$Z$10000,15,FALSE),0)</f>
        <v>106.15</v>
      </c>
      <c r="M132" s="87" t="e">
        <f t="shared" si="48"/>
        <v>#VALUE!</v>
      </c>
      <c r="N132" s="87">
        <f t="shared" si="49"/>
        <v>17.691666666666666</v>
      </c>
      <c r="O132" s="31"/>
      <c r="P132" s="25">
        <v>307.83999999999997</v>
      </c>
      <c r="T132" s="25" t="str">
        <f t="shared" si="52"/>
        <v>A2124015213295</v>
      </c>
    </row>
    <row r="133" spans="1:22" ht="20.100000000000001" hidden="1" customHeight="1" outlineLevel="1" x14ac:dyDescent="0.2">
      <c r="A133" s="25" t="str">
        <f t="shared" si="57"/>
        <v>A2124015213299</v>
      </c>
      <c r="B133" s="30" t="s">
        <v>472</v>
      </c>
      <c r="C133" s="26" t="s">
        <v>327</v>
      </c>
      <c r="D133" s="30">
        <v>521</v>
      </c>
      <c r="E133" s="30" t="str">
        <f t="shared" si="55"/>
        <v>3</v>
      </c>
      <c r="F133" s="30" t="str">
        <f t="shared" si="56"/>
        <v>32</v>
      </c>
      <c r="G133" s="26" t="str">
        <f t="shared" si="44"/>
        <v>329</v>
      </c>
      <c r="H133" s="86" t="s">
        <v>159</v>
      </c>
      <c r="I133" s="86" t="s">
        <v>161</v>
      </c>
      <c r="J133" s="87" t="e">
        <f>SUMIFS([2]Anl_20250630!$K$6:$K$173,[2]Anl_20250630!$A$6:$A$173,A133)</f>
        <v>#VALUE!</v>
      </c>
      <c r="K133" s="87">
        <f>_xlfn.IFNA(VLOOKUP(T133,[3]Rashodi_2026_RI!$A$18:$Z$10000,14,FALSE),0)</f>
        <v>1700</v>
      </c>
      <c r="L133" s="87">
        <f>_xlfn.IFNA(VLOOKUP(T133,[3]Rashodi_2026_RI!$A$18:$Z$10000,15,FALSE),0)</f>
        <v>0</v>
      </c>
      <c r="M133" s="87" t="e">
        <f t="shared" si="48"/>
        <v>#VALUE!</v>
      </c>
      <c r="N133" s="87">
        <f t="shared" si="49"/>
        <v>0</v>
      </c>
      <c r="O133" s="31"/>
      <c r="P133" s="25">
        <v>45</v>
      </c>
      <c r="T133" s="25" t="str">
        <f t="shared" si="52"/>
        <v>A2124015213299</v>
      </c>
    </row>
    <row r="134" spans="1:22" ht="20.100000000000001" hidden="1" customHeight="1" outlineLevel="1" x14ac:dyDescent="0.2">
      <c r="A134" s="25" t="str">
        <f t="shared" si="57"/>
        <v>A2124015213431</v>
      </c>
      <c r="B134" s="30" t="s">
        <v>472</v>
      </c>
      <c r="C134" s="26" t="s">
        <v>327</v>
      </c>
      <c r="D134" s="30">
        <v>521</v>
      </c>
      <c r="E134" s="30" t="str">
        <f t="shared" si="55"/>
        <v>3</v>
      </c>
      <c r="F134" s="30" t="str">
        <f t="shared" si="56"/>
        <v>34</v>
      </c>
      <c r="G134" s="26" t="str">
        <f t="shared" si="44"/>
        <v>343</v>
      </c>
      <c r="H134" s="86" t="s">
        <v>119</v>
      </c>
      <c r="I134" s="86" t="s">
        <v>121</v>
      </c>
      <c r="J134" s="87" t="e">
        <f>SUMIFS([2]Anl_20250630!$K$6:$K$173,[2]Anl_20250630!$A$6:$A$173,A134)</f>
        <v>#VALUE!</v>
      </c>
      <c r="K134" s="87">
        <f>_xlfn.IFNA(VLOOKUP(T134,[3]Rashodi_2026_RI!$A$18:$Z$10000,14,FALSE),0)</f>
        <v>2700</v>
      </c>
      <c r="L134" s="87">
        <f>_xlfn.IFNA(VLOOKUP(T134,[3]Rashodi_2026_RI!$A$18:$Z$10000,15,FALSE),0)</f>
        <v>0</v>
      </c>
      <c r="M134" s="87" t="e">
        <f t="shared" si="48"/>
        <v>#VALUE!</v>
      </c>
      <c r="N134" s="87">
        <f t="shared" si="49"/>
        <v>0</v>
      </c>
      <c r="O134" s="31"/>
      <c r="T134" s="25" t="str">
        <f t="shared" si="52"/>
        <v>A2124015213431</v>
      </c>
    </row>
    <row r="135" spans="1:22" ht="20.100000000000001" hidden="1" customHeight="1" outlineLevel="1" x14ac:dyDescent="0.2">
      <c r="A135" s="25" t="str">
        <f t="shared" si="57"/>
        <v>A2124015213433</v>
      </c>
      <c r="B135" s="30" t="s">
        <v>472</v>
      </c>
      <c r="C135" s="26" t="s">
        <v>327</v>
      </c>
      <c r="D135" s="30">
        <v>521</v>
      </c>
      <c r="E135" s="30" t="str">
        <f t="shared" si="55"/>
        <v>3</v>
      </c>
      <c r="F135" s="30" t="str">
        <f t="shared" si="56"/>
        <v>34</v>
      </c>
      <c r="G135" s="26" t="str">
        <f t="shared" si="44"/>
        <v>343</v>
      </c>
      <c r="H135" s="86" t="s">
        <v>163</v>
      </c>
      <c r="I135" s="86" t="s">
        <v>165</v>
      </c>
      <c r="J135" s="87" t="e">
        <f>SUMIFS([2]Anl_20250630!$K$6:$K$173,[2]Anl_20250630!$A$6:$A$173,A135)</f>
        <v>#VALUE!</v>
      </c>
      <c r="K135" s="87">
        <f>_xlfn.IFNA(VLOOKUP(T135,[3]Rashodi_2026_RI!$A$18:$Z$10000,14,FALSE),0)</f>
        <v>200</v>
      </c>
      <c r="L135" s="87">
        <f>_xlfn.IFNA(VLOOKUP(T135,[3]Rashodi_2026_RI!$A$18:$Z$10000,15,FALSE),0)</f>
        <v>0</v>
      </c>
      <c r="M135" s="87" t="e">
        <f t="shared" si="48"/>
        <v>#VALUE!</v>
      </c>
      <c r="N135" s="87">
        <f t="shared" si="49"/>
        <v>0</v>
      </c>
      <c r="O135" s="31"/>
      <c r="P135" s="25">
        <v>22.55</v>
      </c>
      <c r="T135" s="25" t="str">
        <f t="shared" si="52"/>
        <v>A2124015213433</v>
      </c>
    </row>
    <row r="136" spans="1:22" ht="24.95" customHeight="1" collapsed="1" thickBot="1" x14ac:dyDescent="0.25">
      <c r="B136" s="30"/>
      <c r="H136" s="230" t="s">
        <v>34</v>
      </c>
      <c r="I136" s="230"/>
      <c r="J136" s="79" t="e">
        <f>SUMIFS(J137:J326,$C137:$C326,"A212401",$D137:$D326,"541")</f>
        <v>#VALUE!</v>
      </c>
      <c r="K136" s="79">
        <f>SUMIFS(K137:K326,$C137:$C326,"A212401",$D137:$D326,"541")</f>
        <v>0</v>
      </c>
      <c r="L136" s="79">
        <f>SUMIFS(L137:L326,$C137:$C326,"A212401",$D137:$D326,"541")</f>
        <v>0</v>
      </c>
      <c r="M136" s="79" t="e">
        <f t="shared" si="48"/>
        <v>#VALUE!</v>
      </c>
      <c r="N136" s="79">
        <f t="shared" si="49"/>
        <v>0</v>
      </c>
    </row>
    <row r="137" spans="1:22" ht="20.100000000000001" hidden="1" customHeight="1" outlineLevel="1" x14ac:dyDescent="0.2">
      <c r="A137" s="25" t="str">
        <f t="shared" si="57"/>
        <v>A2124015413221</v>
      </c>
      <c r="B137" s="30" t="s">
        <v>472</v>
      </c>
      <c r="C137" s="26" t="s">
        <v>327</v>
      </c>
      <c r="D137" s="30">
        <v>541</v>
      </c>
      <c r="E137" s="30" t="str">
        <f>LEFT(H137,1)</f>
        <v>3</v>
      </c>
      <c r="F137" s="30" t="str">
        <f>LEFT(H137,2)</f>
        <v>32</v>
      </c>
      <c r="G137" s="26" t="str">
        <f t="shared" si="44"/>
        <v>322</v>
      </c>
      <c r="H137" s="86" t="s">
        <v>72</v>
      </c>
      <c r="I137" s="86" t="s">
        <v>74</v>
      </c>
      <c r="J137" s="87" t="e">
        <f>SUMIFS([2]Anl_20250630!$K$6:$K$173,[2]Anl_20250630!$A$6:$A$173,A137)</f>
        <v>#VALUE!</v>
      </c>
      <c r="K137" s="87">
        <f>_xlfn.IFNA(VLOOKUP(T137,[3]Rashodi_2026_RI!$A$18:$Z$10000,14,FALSE),0)</f>
        <v>0</v>
      </c>
      <c r="L137" s="87">
        <f>_xlfn.IFNA(VLOOKUP(T137,[3]Rashodi_2026_RI!$A$18:$Z$10000,15,FALSE),0)</f>
        <v>0</v>
      </c>
      <c r="M137" s="87" t="e">
        <f t="shared" si="48"/>
        <v>#VALUE!</v>
      </c>
      <c r="N137" s="87">
        <f t="shared" si="49"/>
        <v>0</v>
      </c>
      <c r="O137" s="31"/>
      <c r="T137" s="25" t="str">
        <f t="shared" si="52"/>
        <v>A2124015413221</v>
      </c>
    </row>
    <row r="138" spans="1:22" ht="20.100000000000001" hidden="1" customHeight="1" outlineLevel="1" x14ac:dyDescent="0.2">
      <c r="A138" s="25" t="str">
        <f t="shared" si="57"/>
        <v>A2124015413222</v>
      </c>
      <c r="B138" s="30" t="s">
        <v>472</v>
      </c>
      <c r="C138" s="26" t="s">
        <v>327</v>
      </c>
      <c r="D138" s="30">
        <v>541</v>
      </c>
      <c r="E138" s="30" t="str">
        <f>LEFT(H138,1)</f>
        <v>3</v>
      </c>
      <c r="F138" s="30" t="str">
        <f>LEFT(H138,2)</f>
        <v>32</v>
      </c>
      <c r="G138" s="26" t="str">
        <f t="shared" si="44"/>
        <v>322</v>
      </c>
      <c r="H138" s="86" t="s">
        <v>75</v>
      </c>
      <c r="I138" s="86" t="s">
        <v>77</v>
      </c>
      <c r="J138" s="87" t="e">
        <f>SUMIFS([2]Anl_20250630!$K$6:$K$173,[2]Anl_20250630!$A$6:$A$173,A138)</f>
        <v>#VALUE!</v>
      </c>
      <c r="K138" s="87">
        <f>_xlfn.IFNA(VLOOKUP(T138,[3]Rashodi_2026_RI!$A$18:$Z$10000,14,FALSE),0)</f>
        <v>0</v>
      </c>
      <c r="L138" s="87">
        <f>_xlfn.IFNA(VLOOKUP(T138,[3]Rashodi_2026_RI!$A$18:$Z$10000,15,FALSE),0)</f>
        <v>0</v>
      </c>
      <c r="M138" s="87" t="e">
        <f t="shared" si="48"/>
        <v>#VALUE!</v>
      </c>
      <c r="N138" s="87">
        <f t="shared" si="49"/>
        <v>0</v>
      </c>
      <c r="O138" s="31"/>
      <c r="T138" s="25" t="str">
        <f t="shared" si="52"/>
        <v>A2124015413222</v>
      </c>
    </row>
    <row r="139" spans="1:22" ht="20.100000000000001" hidden="1" customHeight="1" outlineLevel="1" x14ac:dyDescent="0.2">
      <c r="A139" s="25" t="str">
        <f t="shared" si="57"/>
        <v>A2124015413225</v>
      </c>
      <c r="B139" s="30" t="s">
        <v>472</v>
      </c>
      <c r="C139" s="26" t="s">
        <v>327</v>
      </c>
      <c r="D139" s="30">
        <v>541</v>
      </c>
      <c r="E139" s="30" t="str">
        <f>LEFT(H139,1)</f>
        <v>3</v>
      </c>
      <c r="F139" s="30" t="str">
        <f>LEFT(H139,2)</f>
        <v>32</v>
      </c>
      <c r="G139" s="26" t="str">
        <f t="shared" si="44"/>
        <v>322</v>
      </c>
      <c r="H139" s="86" t="s">
        <v>84</v>
      </c>
      <c r="I139" s="86" t="s">
        <v>86</v>
      </c>
      <c r="J139" s="87" t="e">
        <f>SUMIFS([2]Anl_20250630!$K$6:$K$173,[2]Anl_20250630!$A$6:$A$173,A139)</f>
        <v>#VALUE!</v>
      </c>
      <c r="K139" s="87">
        <f>_xlfn.IFNA(VLOOKUP(T139,[3]Rashodi_2026_RI!$A$18:$Z$10000,14,FALSE),0)</f>
        <v>0</v>
      </c>
      <c r="L139" s="87">
        <f>_xlfn.IFNA(VLOOKUP(T139,[3]Rashodi_2026_RI!$A$18:$Z$10000,15,FALSE),0)</f>
        <v>0</v>
      </c>
      <c r="M139" s="87" t="e">
        <f t="shared" si="48"/>
        <v>#VALUE!</v>
      </c>
      <c r="N139" s="87">
        <f t="shared" si="49"/>
        <v>0</v>
      </c>
      <c r="O139" s="31"/>
      <c r="T139" s="25" t="str">
        <f t="shared" si="52"/>
        <v>A2124015413225</v>
      </c>
    </row>
    <row r="140" spans="1:22" ht="20.100000000000001" hidden="1" customHeight="1" outlineLevel="1" x14ac:dyDescent="0.2">
      <c r="A140" s="25" t="str">
        <f t="shared" si="57"/>
        <v>A2124015413235</v>
      </c>
      <c r="B140" s="30" t="s">
        <v>472</v>
      </c>
      <c r="C140" s="26" t="s">
        <v>327</v>
      </c>
      <c r="D140" s="30">
        <v>541</v>
      </c>
      <c r="E140" s="30" t="str">
        <f>LEFT(H140,1)</f>
        <v>3</v>
      </c>
      <c r="F140" s="30" t="str">
        <f>LEFT(H140,2)</f>
        <v>32</v>
      </c>
      <c r="G140" s="26" t="str">
        <f t="shared" si="44"/>
        <v>323</v>
      </c>
      <c r="H140" s="86" t="s">
        <v>97</v>
      </c>
      <c r="I140" s="86" t="s">
        <v>99</v>
      </c>
      <c r="J140" s="87" t="e">
        <f>SUMIFS([2]Anl_20250630!$K$6:$K$173,[2]Anl_20250630!$A$6:$A$173,A140)</f>
        <v>#VALUE!</v>
      </c>
      <c r="K140" s="87">
        <f>_xlfn.IFNA(VLOOKUP(T140,[3]Rashodi_2026_RI!$A$18:$Z$10000,14,FALSE),0)</f>
        <v>0</v>
      </c>
      <c r="L140" s="87">
        <f>_xlfn.IFNA(VLOOKUP(T140,[3]Rashodi_2026_RI!$A$18:$Z$10000,15,FALSE),0)</f>
        <v>0</v>
      </c>
      <c r="M140" s="87" t="e">
        <f t="shared" si="48"/>
        <v>#VALUE!</v>
      </c>
      <c r="N140" s="87">
        <f t="shared" si="49"/>
        <v>0</v>
      </c>
      <c r="O140" s="31"/>
      <c r="T140" s="25" t="str">
        <f t="shared" si="52"/>
        <v>A2124015413235</v>
      </c>
    </row>
    <row r="141" spans="1:22" ht="20.100000000000001" hidden="1" customHeight="1" outlineLevel="1" thickBot="1" x14ac:dyDescent="0.25">
      <c r="A141" s="25" t="str">
        <f t="shared" si="57"/>
        <v>A2124015413293</v>
      </c>
      <c r="B141" s="30" t="s">
        <v>472</v>
      </c>
      <c r="C141" s="26" t="s">
        <v>327</v>
      </c>
      <c r="D141" s="30">
        <v>541</v>
      </c>
      <c r="E141" s="30" t="str">
        <f>LEFT(H141,1)</f>
        <v>3</v>
      </c>
      <c r="F141" s="30" t="str">
        <f>LEFT(H141,2)</f>
        <v>32</v>
      </c>
      <c r="G141" s="26" t="str">
        <f t="shared" si="44"/>
        <v>329</v>
      </c>
      <c r="H141" s="86" t="s">
        <v>154</v>
      </c>
      <c r="I141" s="86" t="s">
        <v>156</v>
      </c>
      <c r="J141" s="87" t="e">
        <f>SUMIFS([2]Anl_20250630!$K$6:$K$173,[2]Anl_20250630!$A$6:$A$173,A141)</f>
        <v>#VALUE!</v>
      </c>
      <c r="K141" s="87">
        <f>_xlfn.IFNA(VLOOKUP(T141,[3]Rashodi_2026_RI!$A$18:$Z$10000,14,FALSE),0)</f>
        <v>0</v>
      </c>
      <c r="L141" s="87">
        <f>_xlfn.IFNA(VLOOKUP(T141,[3]Rashodi_2026_RI!$A$18:$Z$10000,15,FALSE),0)</f>
        <v>0</v>
      </c>
      <c r="M141" s="87" t="e">
        <f t="shared" si="48"/>
        <v>#VALUE!</v>
      </c>
      <c r="N141" s="87">
        <f t="shared" si="49"/>
        <v>0</v>
      </c>
      <c r="O141" s="31"/>
      <c r="T141" s="25" t="str">
        <f t="shared" si="52"/>
        <v>A2124015413293</v>
      </c>
    </row>
    <row r="142" spans="1:22" ht="35.1" customHeight="1" collapsed="1" thickBot="1" x14ac:dyDescent="0.25">
      <c r="B142" s="30"/>
      <c r="H142" s="225" t="s">
        <v>209</v>
      </c>
      <c r="I142" s="225"/>
      <c r="J142" s="82" t="e">
        <f>J143+J156+J169+J177+J196+J206+J216</f>
        <v>#VALUE!</v>
      </c>
      <c r="K142" s="82">
        <f t="shared" ref="K142:L142" si="58">K143+K156+K169+K177+K196+K206+K216</f>
        <v>506700</v>
      </c>
      <c r="L142" s="82">
        <f t="shared" si="58"/>
        <v>187569.28</v>
      </c>
      <c r="M142" s="82" t="e">
        <f t="shared" ref="M142:M234" si="59">IF(J142&lt;&gt;0,L142/J142*100,0)</f>
        <v>#VALUE!</v>
      </c>
      <c r="N142" s="82">
        <f t="shared" ref="N142:N234" si="60">IF(K142&lt;&gt;0,L142/K142*100,0)</f>
        <v>37.017817248865207</v>
      </c>
    </row>
    <row r="143" spans="1:22" ht="24.95" customHeight="1" x14ac:dyDescent="0.2">
      <c r="B143" s="30"/>
      <c r="H143" s="230" t="s">
        <v>56</v>
      </c>
      <c r="I143" s="230"/>
      <c r="J143" s="79" t="e">
        <f>SUMIFS(J144:J342,$C144:$C342,"A212402",$D144:$D342,"112")</f>
        <v>#VALUE!</v>
      </c>
      <c r="K143" s="79">
        <f>SUMIFS(K144:K342,$C144:$C342,"A212402",$D144:$D342,"112")</f>
        <v>280000</v>
      </c>
      <c r="L143" s="79">
        <f>SUMIFS(L144:L342,$C144:$C342,"A212402",$D144:$D342,"112")</f>
        <v>122126.18</v>
      </c>
      <c r="M143" s="79" t="e">
        <f t="shared" si="59"/>
        <v>#VALUE!</v>
      </c>
      <c r="N143" s="79">
        <f t="shared" si="60"/>
        <v>43.616492857142852</v>
      </c>
      <c r="V143" s="32"/>
    </row>
    <row r="144" spans="1:22" ht="20.100000000000001" hidden="1" customHeight="1" outlineLevel="1" x14ac:dyDescent="0.2">
      <c r="A144" s="25" t="str">
        <f t="shared" si="57"/>
        <v>A2124021123211</v>
      </c>
      <c r="B144" s="30" t="s">
        <v>472</v>
      </c>
      <c r="C144" s="26" t="s">
        <v>328</v>
      </c>
      <c r="D144" s="30">
        <v>112</v>
      </c>
      <c r="E144" s="30" t="str">
        <f t="shared" ref="E144:E155" si="61">LEFT(H144,1)</f>
        <v>3</v>
      </c>
      <c r="F144" s="30" t="str">
        <f t="shared" ref="F144:F155" si="62">LEFT(H144,2)</f>
        <v>32</v>
      </c>
      <c r="G144" s="26" t="str">
        <f t="shared" ref="G144:G205" si="63">LEFT(H144,3)</f>
        <v>321</v>
      </c>
      <c r="H144" s="212" t="s">
        <v>130</v>
      </c>
      <c r="I144" s="86" t="s">
        <v>132</v>
      </c>
      <c r="J144" s="87" t="e">
        <f>SUMIFS([2]Anl_20250630!$K$6:$K$173,[2]Anl_20250630!$A$6:$A$173,A144)</f>
        <v>#VALUE!</v>
      </c>
      <c r="K144" s="87">
        <f>_xlfn.IFNA(VLOOKUP(T144,[3]Rashodi_2026_RI!$A$18:$Z$10000,14,FALSE),0)</f>
        <v>0</v>
      </c>
      <c r="L144" s="87">
        <f>_xlfn.IFNA(VLOOKUP(T144,[3]Rashodi_2026_RI!$A$18:$Z$10000,15,FALSE),0)</f>
        <v>0</v>
      </c>
      <c r="M144" s="87" t="e">
        <f t="shared" si="59"/>
        <v>#VALUE!</v>
      </c>
      <c r="N144" s="87">
        <f t="shared" si="60"/>
        <v>0</v>
      </c>
      <c r="O144" s="31"/>
      <c r="T144" s="25" t="str">
        <f t="shared" si="52"/>
        <v>A2124021123211</v>
      </c>
    </row>
    <row r="145" spans="1:20" ht="20.100000000000001" hidden="1" customHeight="1" outlineLevel="1" x14ac:dyDescent="0.2">
      <c r="A145" s="25" t="str">
        <f t="shared" si="57"/>
        <v>A2124021123214</v>
      </c>
      <c r="B145" s="30" t="s">
        <v>472</v>
      </c>
      <c r="C145" s="26" t="s">
        <v>328</v>
      </c>
      <c r="D145" s="30">
        <v>112</v>
      </c>
      <c r="E145" s="30" t="str">
        <f t="shared" si="61"/>
        <v>3</v>
      </c>
      <c r="F145" s="30" t="str">
        <f t="shared" si="62"/>
        <v>32</v>
      </c>
      <c r="G145" s="26" t="str">
        <f t="shared" si="63"/>
        <v>321</v>
      </c>
      <c r="H145" s="86" t="s">
        <v>172</v>
      </c>
      <c r="I145" s="86" t="s">
        <v>174</v>
      </c>
      <c r="J145" s="87" t="e">
        <f>SUMIFS([2]Anl_20250630!$K$6:$K$173,[2]Anl_20250630!$A$6:$A$173,A145)</f>
        <v>#VALUE!</v>
      </c>
      <c r="K145" s="87">
        <f>_xlfn.IFNA(VLOOKUP(T145,[3]Rashodi_2026_RI!$A$18:$Z$10000,14,FALSE),0)</f>
        <v>0</v>
      </c>
      <c r="L145" s="87">
        <f>_xlfn.IFNA(VLOOKUP(T145,[3]Rashodi_2026_RI!$A$18:$Z$10000,15,FALSE),0)</f>
        <v>0</v>
      </c>
      <c r="M145" s="87" t="e">
        <f t="shared" si="59"/>
        <v>#VALUE!</v>
      </c>
      <c r="N145" s="87">
        <f t="shared" si="60"/>
        <v>0</v>
      </c>
      <c r="O145" s="31"/>
      <c r="T145" s="25" t="str">
        <f t="shared" si="52"/>
        <v>A2124021123214</v>
      </c>
    </row>
    <row r="146" spans="1:20" ht="20.100000000000001" hidden="1" customHeight="1" outlineLevel="1" x14ac:dyDescent="0.2">
      <c r="A146" s="25" t="str">
        <f t="shared" si="57"/>
        <v>A2124021123221</v>
      </c>
      <c r="B146" s="30" t="s">
        <v>472</v>
      </c>
      <c r="C146" s="26" t="s">
        <v>328</v>
      </c>
      <c r="D146" s="30">
        <v>112</v>
      </c>
      <c r="E146" s="30" t="str">
        <f t="shared" si="61"/>
        <v>3</v>
      </c>
      <c r="F146" s="30" t="str">
        <f t="shared" si="62"/>
        <v>32</v>
      </c>
      <c r="G146" s="26" t="str">
        <f t="shared" si="63"/>
        <v>322</v>
      </c>
      <c r="H146" s="86" t="s">
        <v>72</v>
      </c>
      <c r="I146" s="86" t="s">
        <v>74</v>
      </c>
      <c r="J146" s="87" t="e">
        <f>SUMIFS([2]Anl_20250630!$K$6:$K$173,[2]Anl_20250630!$A$6:$A$173,A146)</f>
        <v>#VALUE!</v>
      </c>
      <c r="K146" s="87">
        <f>_xlfn.IFNA(VLOOKUP(T146,[3]Rashodi_2026_RI!$A$18:$Z$10000,14,FALSE),0)</f>
        <v>85000</v>
      </c>
      <c r="L146" s="87">
        <f>_xlfn.IFNA(VLOOKUP(T146,[3]Rashodi_2026_RI!$A$18:$Z$10000,15,FALSE),0)</f>
        <v>57718.130000000005</v>
      </c>
      <c r="M146" s="87" t="e">
        <f t="shared" si="59"/>
        <v>#VALUE!</v>
      </c>
      <c r="N146" s="87">
        <f t="shared" si="60"/>
        <v>67.903682352941189</v>
      </c>
      <c r="O146" s="31"/>
      <c r="T146" s="25" t="str">
        <f t="shared" si="52"/>
        <v>A2124021123221</v>
      </c>
    </row>
    <row r="147" spans="1:20" ht="20.100000000000001" hidden="1" customHeight="1" outlineLevel="1" x14ac:dyDescent="0.2">
      <c r="A147" s="25" t="str">
        <f t="shared" si="57"/>
        <v>A2124021123222</v>
      </c>
      <c r="B147" s="30" t="s">
        <v>472</v>
      </c>
      <c r="C147" s="26" t="s">
        <v>328</v>
      </c>
      <c r="D147" s="30">
        <v>112</v>
      </c>
      <c r="E147" s="30" t="str">
        <f t="shared" si="61"/>
        <v>3</v>
      </c>
      <c r="F147" s="30" t="str">
        <f t="shared" si="62"/>
        <v>32</v>
      </c>
      <c r="G147" s="26" t="str">
        <f t="shared" si="63"/>
        <v>322</v>
      </c>
      <c r="H147" s="86" t="s">
        <v>75</v>
      </c>
      <c r="I147" s="86" t="s">
        <v>77</v>
      </c>
      <c r="J147" s="87" t="e">
        <f>SUMIFS([2]Anl_20250630!$K$6:$K$173,[2]Anl_20250630!$A$6:$A$173,A147)</f>
        <v>#VALUE!</v>
      </c>
      <c r="K147" s="87">
        <f>_xlfn.IFNA(VLOOKUP(T147,[3]Rashodi_2026_RI!$A$18:$Z$10000,14,FALSE),0)</f>
        <v>23000</v>
      </c>
      <c r="L147" s="87">
        <f>_xlfn.IFNA(VLOOKUP(T147,[3]Rashodi_2026_RI!$A$18:$Z$10000,15,FALSE),0)</f>
        <v>2843.6</v>
      </c>
      <c r="M147" s="87" t="e">
        <f t="shared" si="59"/>
        <v>#VALUE!</v>
      </c>
      <c r="N147" s="87">
        <f t="shared" si="60"/>
        <v>12.363478260869565</v>
      </c>
      <c r="O147" s="31"/>
      <c r="T147" s="25" t="str">
        <f t="shared" si="52"/>
        <v>A2124021123222</v>
      </c>
    </row>
    <row r="148" spans="1:20" ht="20.100000000000001" hidden="1" customHeight="1" outlineLevel="1" x14ac:dyDescent="0.2">
      <c r="A148" s="25" t="str">
        <f t="shared" si="57"/>
        <v>A2124021123231</v>
      </c>
      <c r="B148" s="30" t="s">
        <v>472</v>
      </c>
      <c r="C148" s="26" t="s">
        <v>328</v>
      </c>
      <c r="D148" s="30">
        <v>112</v>
      </c>
      <c r="E148" s="30" t="str">
        <f t="shared" si="61"/>
        <v>3</v>
      </c>
      <c r="F148" s="30" t="str">
        <f t="shared" si="62"/>
        <v>32</v>
      </c>
      <c r="G148" s="26" t="str">
        <f t="shared" si="63"/>
        <v>323</v>
      </c>
      <c r="H148" s="86" t="s">
        <v>87</v>
      </c>
      <c r="I148" s="86" t="s">
        <v>89</v>
      </c>
      <c r="J148" s="87" t="e">
        <f>SUMIFS([2]Anl_20250630!$K$6:$K$173,[2]Anl_20250630!$A$6:$A$173,A148)</f>
        <v>#VALUE!</v>
      </c>
      <c r="K148" s="87">
        <f>_xlfn.IFNA(VLOOKUP(T148,[3]Rashodi_2026_RI!$A$18:$Z$10000,14,FALSE),0)</f>
        <v>0</v>
      </c>
      <c r="L148" s="87">
        <f>_xlfn.IFNA(VLOOKUP(T148,[3]Rashodi_2026_RI!$A$18:$Z$10000,15,FALSE),0)</f>
        <v>0</v>
      </c>
      <c r="M148" s="87" t="e">
        <f t="shared" si="59"/>
        <v>#VALUE!</v>
      </c>
      <c r="N148" s="87">
        <f t="shared" si="60"/>
        <v>0</v>
      </c>
      <c r="O148" s="31"/>
      <c r="T148" s="25" t="str">
        <f t="shared" si="52"/>
        <v>A2124021123231</v>
      </c>
    </row>
    <row r="149" spans="1:20" ht="20.100000000000001" hidden="1" customHeight="1" outlineLevel="1" x14ac:dyDescent="0.2">
      <c r="A149" s="25" t="str">
        <f t="shared" si="57"/>
        <v>A2124021123232</v>
      </c>
      <c r="B149" s="30" t="s">
        <v>472</v>
      </c>
      <c r="C149" s="26" t="s">
        <v>328</v>
      </c>
      <c r="D149" s="30">
        <v>112</v>
      </c>
      <c r="E149" s="30" t="str">
        <f t="shared" si="61"/>
        <v>3</v>
      </c>
      <c r="F149" s="30" t="str">
        <f t="shared" si="62"/>
        <v>32</v>
      </c>
      <c r="G149" s="26" t="str">
        <f t="shared" si="63"/>
        <v>323</v>
      </c>
      <c r="H149" s="86" t="s">
        <v>38</v>
      </c>
      <c r="I149" s="86" t="s">
        <v>40</v>
      </c>
      <c r="J149" s="87" t="e">
        <f>SUMIFS([2]Anl_20250630!$K$6:$K$173,[2]Anl_20250630!$A$6:$A$173,A149)</f>
        <v>#VALUE!</v>
      </c>
      <c r="K149" s="87">
        <f>_xlfn.IFNA(VLOOKUP(T149,[3]Rashodi_2026_RI!$A$18:$Z$10000,14,FALSE),0)</f>
        <v>0</v>
      </c>
      <c r="L149" s="87">
        <f>_xlfn.IFNA(VLOOKUP(T149,[3]Rashodi_2026_RI!$A$18:$Z$10000,15,FALSE),0)</f>
        <v>0</v>
      </c>
      <c r="M149" s="87" t="e">
        <f t="shared" si="59"/>
        <v>#VALUE!</v>
      </c>
      <c r="N149" s="87">
        <f t="shared" si="60"/>
        <v>0</v>
      </c>
      <c r="O149" s="31"/>
      <c r="T149" s="25" t="str">
        <f t="shared" si="52"/>
        <v>A2124021123232</v>
      </c>
    </row>
    <row r="150" spans="1:20" ht="20.100000000000001" hidden="1" customHeight="1" outlineLevel="1" x14ac:dyDescent="0.2">
      <c r="A150" s="25" t="str">
        <f t="shared" si="57"/>
        <v>A2124021123233</v>
      </c>
      <c r="B150" s="30" t="s">
        <v>472</v>
      </c>
      <c r="C150" s="26" t="s">
        <v>328</v>
      </c>
      <c r="D150" s="30">
        <v>112</v>
      </c>
      <c r="E150" s="30" t="str">
        <f t="shared" si="61"/>
        <v>3</v>
      </c>
      <c r="F150" s="30" t="str">
        <f t="shared" si="62"/>
        <v>32</v>
      </c>
      <c r="G150" s="26" t="str">
        <f t="shared" si="63"/>
        <v>323</v>
      </c>
      <c r="H150" s="86" t="s">
        <v>91</v>
      </c>
      <c r="I150" s="86" t="s">
        <v>93</v>
      </c>
      <c r="J150" s="87" t="e">
        <f>SUMIFS([2]Anl_20250630!$K$6:$K$173,[2]Anl_20250630!$A$6:$A$173,A150)</f>
        <v>#VALUE!</v>
      </c>
      <c r="K150" s="87">
        <f>_xlfn.IFNA(VLOOKUP(T150,[3]Rashodi_2026_RI!$A$18:$Z$10000,14,FALSE),0)</f>
        <v>10000</v>
      </c>
      <c r="L150" s="87">
        <f>_xlfn.IFNA(VLOOKUP(T150,[3]Rashodi_2026_RI!$A$18:$Z$10000,15,FALSE),0)</f>
        <v>229.96</v>
      </c>
      <c r="M150" s="87" t="e">
        <f t="shared" si="59"/>
        <v>#VALUE!</v>
      </c>
      <c r="N150" s="87">
        <f t="shared" si="60"/>
        <v>2.2995999999999999</v>
      </c>
      <c r="O150" s="31"/>
      <c r="T150" s="25" t="str">
        <f t="shared" si="52"/>
        <v>A2124021123233</v>
      </c>
    </row>
    <row r="151" spans="1:20" ht="20.100000000000001" hidden="1" customHeight="1" outlineLevel="1" x14ac:dyDescent="0.2">
      <c r="A151" s="25" t="str">
        <f t="shared" si="57"/>
        <v>A2124021123235</v>
      </c>
      <c r="B151" s="30" t="s">
        <v>472</v>
      </c>
      <c r="C151" s="26" t="s">
        <v>328</v>
      </c>
      <c r="D151" s="30">
        <v>112</v>
      </c>
      <c r="E151" s="30" t="str">
        <f t="shared" si="61"/>
        <v>3</v>
      </c>
      <c r="F151" s="30" t="str">
        <f t="shared" si="62"/>
        <v>32</v>
      </c>
      <c r="G151" s="26" t="str">
        <f t="shared" si="63"/>
        <v>323</v>
      </c>
      <c r="H151" s="86" t="s">
        <v>97</v>
      </c>
      <c r="I151" s="86" t="s">
        <v>99</v>
      </c>
      <c r="J151" s="87" t="e">
        <f>SUMIFS([2]Anl_20250630!$K$6:$K$173,[2]Anl_20250630!$A$6:$A$173,A151)</f>
        <v>#VALUE!</v>
      </c>
      <c r="K151" s="87">
        <f>_xlfn.IFNA(VLOOKUP(T151,[3]Rashodi_2026_RI!$A$18:$Z$10000,14,FALSE),0)</f>
        <v>0</v>
      </c>
      <c r="L151" s="87">
        <f>_xlfn.IFNA(VLOOKUP(T151,[3]Rashodi_2026_RI!$A$18:$Z$10000,15,FALSE),0)</f>
        <v>0</v>
      </c>
      <c r="M151" s="87" t="e">
        <f t="shared" si="59"/>
        <v>#VALUE!</v>
      </c>
      <c r="N151" s="87">
        <f t="shared" si="60"/>
        <v>0</v>
      </c>
      <c r="O151" s="31"/>
      <c r="T151" s="25" t="str">
        <f t="shared" si="52"/>
        <v>A2124021123235</v>
      </c>
    </row>
    <row r="152" spans="1:20" ht="20.100000000000001" hidden="1" customHeight="1" outlineLevel="1" x14ac:dyDescent="0.2">
      <c r="A152" s="25" t="str">
        <f t="shared" si="57"/>
        <v>A2124021123237</v>
      </c>
      <c r="B152" s="30" t="s">
        <v>472</v>
      </c>
      <c r="C152" s="26" t="s">
        <v>328</v>
      </c>
      <c r="D152" s="30">
        <v>112</v>
      </c>
      <c r="E152" s="30" t="str">
        <f t="shared" si="61"/>
        <v>3</v>
      </c>
      <c r="F152" s="30" t="str">
        <f t="shared" si="62"/>
        <v>32</v>
      </c>
      <c r="G152" s="26" t="str">
        <f t="shared" si="63"/>
        <v>323</v>
      </c>
      <c r="H152" s="86" t="s">
        <v>41</v>
      </c>
      <c r="I152" s="86" t="s">
        <v>43</v>
      </c>
      <c r="J152" s="87" t="e">
        <f>SUMIFS([2]Anl_20250630!$K$6:$K$173,[2]Anl_20250630!$A$6:$A$173,A152)</f>
        <v>#VALUE!</v>
      </c>
      <c r="K152" s="87">
        <f>_xlfn.IFNA(VLOOKUP(T152,[3]Rashodi_2026_RI!$A$18:$Z$10000,14,FALSE),0)</f>
        <v>100000</v>
      </c>
      <c r="L152" s="87">
        <f>_xlfn.IFNA(VLOOKUP(T152,[3]Rashodi_2026_RI!$A$18:$Z$10000,15,FALSE),0)</f>
        <v>54807.09</v>
      </c>
      <c r="M152" s="87" t="e">
        <f t="shared" si="59"/>
        <v>#VALUE!</v>
      </c>
      <c r="N152" s="87">
        <f t="shared" si="60"/>
        <v>54.807089999999988</v>
      </c>
      <c r="O152" s="31"/>
      <c r="T152" s="25" t="str">
        <f t="shared" si="52"/>
        <v>A2124021123237</v>
      </c>
    </row>
    <row r="153" spans="1:20" ht="20.100000000000001" hidden="1" customHeight="1" outlineLevel="1" x14ac:dyDescent="0.2">
      <c r="A153" s="25" t="str">
        <f t="shared" si="57"/>
        <v>A2124021123238</v>
      </c>
      <c r="B153" s="30" t="s">
        <v>472</v>
      </c>
      <c r="C153" s="26" t="s">
        <v>328</v>
      </c>
      <c r="D153" s="30">
        <v>112</v>
      </c>
      <c r="E153" s="30" t="str">
        <f t="shared" si="61"/>
        <v>3</v>
      </c>
      <c r="F153" s="30" t="str">
        <f t="shared" si="62"/>
        <v>32</v>
      </c>
      <c r="G153" s="26" t="str">
        <f t="shared" si="63"/>
        <v>323</v>
      </c>
      <c r="H153" s="86" t="s">
        <v>104</v>
      </c>
      <c r="I153" s="86" t="s">
        <v>106</v>
      </c>
      <c r="J153" s="87" t="e">
        <f>SUMIFS([2]Anl_20250630!$K$6:$K$173,[2]Anl_20250630!$A$6:$A$173,A153)</f>
        <v>#VALUE!</v>
      </c>
      <c r="K153" s="87">
        <f>_xlfn.IFNA(VLOOKUP(T153,[3]Rashodi_2026_RI!$A$18:$Z$10000,14,FALSE),0)</f>
        <v>23000</v>
      </c>
      <c r="L153" s="87">
        <f>_xlfn.IFNA(VLOOKUP(T153,[3]Rashodi_2026_RI!$A$18:$Z$10000,15,FALSE),0)</f>
        <v>1562.5</v>
      </c>
      <c r="M153" s="87" t="e">
        <f t="shared" si="59"/>
        <v>#VALUE!</v>
      </c>
      <c r="N153" s="87">
        <f t="shared" si="60"/>
        <v>6.7934782608695645</v>
      </c>
      <c r="O153" s="31"/>
      <c r="T153" s="25" t="str">
        <f t="shared" si="52"/>
        <v>A2124021123238</v>
      </c>
    </row>
    <row r="154" spans="1:20" ht="20.100000000000001" hidden="1" customHeight="1" outlineLevel="1" x14ac:dyDescent="0.2">
      <c r="A154" s="25" t="str">
        <f t="shared" si="57"/>
        <v>A2124021123239</v>
      </c>
      <c r="B154" s="30" t="s">
        <v>472</v>
      </c>
      <c r="C154" s="26" t="s">
        <v>328</v>
      </c>
      <c r="D154" s="30">
        <v>112</v>
      </c>
      <c r="E154" s="30" t="str">
        <f t="shared" si="61"/>
        <v>3</v>
      </c>
      <c r="F154" s="30" t="str">
        <f t="shared" si="62"/>
        <v>32</v>
      </c>
      <c r="G154" s="26" t="str">
        <f t="shared" si="63"/>
        <v>323</v>
      </c>
      <c r="H154" s="86" t="s">
        <v>126</v>
      </c>
      <c r="I154" s="86" t="s">
        <v>128</v>
      </c>
      <c r="J154" s="87" t="e">
        <f>SUMIFS([2]Anl_20250630!$K$6:$K$173,[2]Anl_20250630!$A$6:$A$173,A154)</f>
        <v>#VALUE!</v>
      </c>
      <c r="K154" s="87">
        <f>_xlfn.IFNA(VLOOKUP(T154,[3]Rashodi_2026_RI!$A$18:$Z$10000,14,FALSE),0)</f>
        <v>29000</v>
      </c>
      <c r="L154" s="87">
        <f>_xlfn.IFNA(VLOOKUP(T154,[3]Rashodi_2026_RI!$A$18:$Z$10000,15,FALSE),0)</f>
        <v>4964.9000000000005</v>
      </c>
      <c r="M154" s="87" t="e">
        <f t="shared" si="59"/>
        <v>#VALUE!</v>
      </c>
      <c r="N154" s="87">
        <f t="shared" si="60"/>
        <v>17.120344827586209</v>
      </c>
      <c r="O154" s="31"/>
      <c r="T154" s="25" t="str">
        <f t="shared" si="52"/>
        <v>A2124021123239</v>
      </c>
    </row>
    <row r="155" spans="1:20" ht="20.100000000000001" hidden="1" customHeight="1" outlineLevel="1" x14ac:dyDescent="0.2">
      <c r="A155" s="25" t="str">
        <f t="shared" si="57"/>
        <v>A2124021123293</v>
      </c>
      <c r="B155" s="30" t="s">
        <v>472</v>
      </c>
      <c r="C155" s="26" t="s">
        <v>328</v>
      </c>
      <c r="D155" s="30">
        <v>112</v>
      </c>
      <c r="E155" s="30" t="str">
        <f t="shared" si="61"/>
        <v>3</v>
      </c>
      <c r="F155" s="30" t="str">
        <f t="shared" si="62"/>
        <v>32</v>
      </c>
      <c r="G155" s="26" t="str">
        <f t="shared" si="63"/>
        <v>329</v>
      </c>
      <c r="H155" s="86" t="s">
        <v>154</v>
      </c>
      <c r="I155" s="86" t="s">
        <v>156</v>
      </c>
      <c r="J155" s="87" t="e">
        <f>SUMIFS([2]Anl_20250630!$K$6:$K$173,[2]Anl_20250630!$A$6:$A$173,A155)</f>
        <v>#VALUE!</v>
      </c>
      <c r="K155" s="87">
        <f>_xlfn.IFNA(VLOOKUP(T155,[3]Rashodi_2026_RI!$A$18:$Z$10000,14,FALSE),0)</f>
        <v>10000</v>
      </c>
      <c r="L155" s="87">
        <f>_xlfn.IFNA(VLOOKUP(T155,[3]Rashodi_2026_RI!$A$18:$Z$10000,15,FALSE),0)</f>
        <v>0</v>
      </c>
      <c r="M155" s="87" t="e">
        <f t="shared" si="59"/>
        <v>#VALUE!</v>
      </c>
      <c r="N155" s="87">
        <f t="shared" si="60"/>
        <v>0</v>
      </c>
      <c r="O155" s="31"/>
      <c r="T155" s="25" t="str">
        <f t="shared" si="52"/>
        <v>A2124021123293</v>
      </c>
    </row>
    <row r="156" spans="1:20" ht="24.95" customHeight="1" collapsed="1" x14ac:dyDescent="0.2">
      <c r="B156" s="30"/>
      <c r="H156" s="230" t="s">
        <v>129</v>
      </c>
      <c r="I156" s="230"/>
      <c r="J156" s="79" t="e">
        <f>SUMIFS(J157:J354,$C157:$C354,"A212402",$D157:$D354,"431")</f>
        <v>#VALUE!</v>
      </c>
      <c r="K156" s="79">
        <f>SUMIFS(K157:K354,$C157:$C354,"A212402",$D157:$D354,"431")</f>
        <v>92800</v>
      </c>
      <c r="L156" s="79">
        <f>SUMIFS(L157:L354,$C157:$C354,"A212402",$D157:$D354,"431")</f>
        <v>20226.89</v>
      </c>
      <c r="M156" s="79" t="e">
        <f t="shared" si="59"/>
        <v>#VALUE!</v>
      </c>
      <c r="N156" s="79">
        <f t="shared" si="60"/>
        <v>21.796217672413793</v>
      </c>
      <c r="O156" s="25" t="s">
        <v>347</v>
      </c>
      <c r="P156" s="25" t="s">
        <v>349</v>
      </c>
    </row>
    <row r="157" spans="1:20" ht="20.100000000000001" hidden="1" customHeight="1" outlineLevel="1" x14ac:dyDescent="0.2">
      <c r="A157" s="25" t="str">
        <f t="shared" si="57"/>
        <v>A2124024313211</v>
      </c>
      <c r="B157" s="30" t="s">
        <v>472</v>
      </c>
      <c r="C157" s="26" t="s">
        <v>328</v>
      </c>
      <c r="D157" s="30">
        <v>431</v>
      </c>
      <c r="E157" s="30" t="str">
        <f t="shared" ref="E157:E168" si="64">LEFT(H157,1)</f>
        <v>3</v>
      </c>
      <c r="F157" s="30" t="str">
        <f t="shared" ref="F157:F168" si="65">LEFT(H157,2)</f>
        <v>32</v>
      </c>
      <c r="G157" s="26" t="str">
        <f t="shared" si="63"/>
        <v>321</v>
      </c>
      <c r="H157" s="86" t="s">
        <v>130</v>
      </c>
      <c r="I157" s="86" t="s">
        <v>132</v>
      </c>
      <c r="J157" s="87" t="e">
        <f>SUMIFS([2]Anl_20250630!$K$6:$K$173,[2]Anl_20250630!$A$6:$A$173,A157)</f>
        <v>#VALUE!</v>
      </c>
      <c r="K157" s="87">
        <f>_xlfn.IFNA(VLOOKUP(T157,[3]Rashodi_2026_RI!$A$18:$Z$10000,14,FALSE),0)</f>
        <v>15000</v>
      </c>
      <c r="L157" s="87">
        <f>_xlfn.IFNA(VLOOKUP(T157,[3]Rashodi_2026_RI!$A$18:$Z$10000,15,FALSE),0)</f>
        <v>10818.1</v>
      </c>
      <c r="M157" s="87" t="e">
        <f t="shared" si="59"/>
        <v>#VALUE!</v>
      </c>
      <c r="N157" s="87">
        <f t="shared" si="60"/>
        <v>72.120666666666665</v>
      </c>
      <c r="O157" s="31"/>
      <c r="T157" s="25" t="str">
        <f t="shared" si="52"/>
        <v>A2124024313211</v>
      </c>
    </row>
    <row r="158" spans="1:20" ht="20.100000000000001" hidden="1" customHeight="1" outlineLevel="1" x14ac:dyDescent="0.2">
      <c r="A158" s="25" t="str">
        <f t="shared" si="57"/>
        <v>A2124024313213</v>
      </c>
      <c r="B158" s="30" t="s">
        <v>472</v>
      </c>
      <c r="C158" s="26" t="s">
        <v>328</v>
      </c>
      <c r="D158" s="30">
        <v>431</v>
      </c>
      <c r="E158" s="30" t="str">
        <f t="shared" si="64"/>
        <v>3</v>
      </c>
      <c r="F158" s="30" t="str">
        <f t="shared" si="65"/>
        <v>32</v>
      </c>
      <c r="G158" s="26" t="str">
        <f t="shared" si="63"/>
        <v>321</v>
      </c>
      <c r="H158" s="86" t="s">
        <v>69</v>
      </c>
      <c r="I158" s="86" t="s">
        <v>71</v>
      </c>
      <c r="J158" s="87" t="e">
        <f>SUMIFS([2]Anl_20250630!$K$6:$K$173,[2]Anl_20250630!$A$6:$A$173,A158)</f>
        <v>#VALUE!</v>
      </c>
      <c r="K158" s="87">
        <f>_xlfn.IFNA(VLOOKUP(T158,[3]Rashodi_2026_RI!$A$18:$Z$10000,14,FALSE),0)</f>
        <v>0</v>
      </c>
      <c r="L158" s="87">
        <f>_xlfn.IFNA(VLOOKUP(T158,[3]Rashodi_2026_RI!$A$18:$Z$10000,15,FALSE),0)</f>
        <v>0</v>
      </c>
      <c r="M158" s="87" t="e">
        <f t="shared" si="59"/>
        <v>#VALUE!</v>
      </c>
      <c r="N158" s="87">
        <f t="shared" si="60"/>
        <v>0</v>
      </c>
      <c r="O158" s="31"/>
      <c r="T158" s="25" t="str">
        <f t="shared" si="52"/>
        <v>A2124024313213</v>
      </c>
    </row>
    <row r="159" spans="1:20" ht="20.100000000000001" hidden="1" customHeight="1" outlineLevel="1" x14ac:dyDescent="0.2">
      <c r="A159" s="25" t="str">
        <f t="shared" si="57"/>
        <v>A2124024313221</v>
      </c>
      <c r="B159" s="30" t="s">
        <v>472</v>
      </c>
      <c r="C159" s="26" t="s">
        <v>328</v>
      </c>
      <c r="D159" s="30">
        <v>431</v>
      </c>
      <c r="E159" s="30" t="str">
        <f t="shared" si="64"/>
        <v>3</v>
      </c>
      <c r="F159" s="30" t="str">
        <f t="shared" si="65"/>
        <v>32</v>
      </c>
      <c r="G159" s="26" t="str">
        <f t="shared" si="63"/>
        <v>322</v>
      </c>
      <c r="H159" s="86" t="s">
        <v>72</v>
      </c>
      <c r="I159" s="86" t="s">
        <v>74</v>
      </c>
      <c r="J159" s="87" t="e">
        <f>SUMIFS([2]Anl_20250630!$K$6:$K$173,[2]Anl_20250630!$A$6:$A$173,A159)</f>
        <v>#VALUE!</v>
      </c>
      <c r="K159" s="87">
        <f>_xlfn.IFNA(VLOOKUP(T159,[3]Rashodi_2026_RI!$A$18:$Z$10000,14,FALSE),0)</f>
        <v>25000</v>
      </c>
      <c r="L159" s="87">
        <f>_xlfn.IFNA(VLOOKUP(T159,[3]Rashodi_2026_RI!$A$18:$Z$10000,15,FALSE),0)</f>
        <v>2011.2</v>
      </c>
      <c r="M159" s="87" t="e">
        <f t="shared" si="59"/>
        <v>#VALUE!</v>
      </c>
      <c r="N159" s="87">
        <f t="shared" si="60"/>
        <v>8.0448000000000004</v>
      </c>
      <c r="O159" s="31"/>
      <c r="T159" s="25" t="str">
        <f t="shared" si="52"/>
        <v>A2124024313221</v>
      </c>
    </row>
    <row r="160" spans="1:20" ht="20.100000000000001" hidden="1" customHeight="1" outlineLevel="1" x14ac:dyDescent="0.2">
      <c r="A160" s="25" t="str">
        <f t="shared" si="57"/>
        <v>A2124024313222</v>
      </c>
      <c r="B160" s="30" t="s">
        <v>472</v>
      </c>
      <c r="C160" s="26" t="s">
        <v>328</v>
      </c>
      <c r="D160" s="30">
        <v>431</v>
      </c>
      <c r="E160" s="30" t="str">
        <f t="shared" si="64"/>
        <v>3</v>
      </c>
      <c r="F160" s="30" t="str">
        <f t="shared" si="65"/>
        <v>32</v>
      </c>
      <c r="G160" s="26" t="str">
        <f t="shared" si="63"/>
        <v>322</v>
      </c>
      <c r="H160" s="86" t="s">
        <v>75</v>
      </c>
      <c r="I160" s="86" t="s">
        <v>77</v>
      </c>
      <c r="J160" s="87" t="e">
        <f>SUMIFS([2]Anl_20250630!$K$6:$K$173,[2]Anl_20250630!$A$6:$A$173,A160)</f>
        <v>#VALUE!</v>
      </c>
      <c r="K160" s="87">
        <f>_xlfn.IFNA(VLOOKUP(T160,[3]Rashodi_2026_RI!$A$18:$Z$10000,14,FALSE),0)</f>
        <v>0</v>
      </c>
      <c r="L160" s="87">
        <f>_xlfn.IFNA(VLOOKUP(T160,[3]Rashodi_2026_RI!$A$18:$Z$10000,15,FALSE),0)</f>
        <v>386.52</v>
      </c>
      <c r="M160" s="87" t="e">
        <f t="shared" si="59"/>
        <v>#VALUE!</v>
      </c>
      <c r="N160" s="87">
        <f t="shared" si="60"/>
        <v>0</v>
      </c>
      <c r="O160" s="31"/>
      <c r="T160" s="25" t="str">
        <f t="shared" si="52"/>
        <v>A2124024313222</v>
      </c>
    </row>
    <row r="161" spans="1:20" ht="20.100000000000001" hidden="1" customHeight="1" outlineLevel="1" x14ac:dyDescent="0.2">
      <c r="A161" s="25" t="str">
        <f t="shared" si="57"/>
        <v>A2124024313225</v>
      </c>
      <c r="B161" s="30" t="s">
        <v>472</v>
      </c>
      <c r="C161" s="26" t="s">
        <v>328</v>
      </c>
      <c r="D161" s="30">
        <v>431</v>
      </c>
      <c r="E161" s="30" t="str">
        <f t="shared" si="64"/>
        <v>3</v>
      </c>
      <c r="F161" s="30" t="str">
        <f t="shared" si="65"/>
        <v>32</v>
      </c>
      <c r="G161" s="26" t="str">
        <f t="shared" si="63"/>
        <v>322</v>
      </c>
      <c r="H161" s="86" t="s">
        <v>84</v>
      </c>
      <c r="I161" s="86" t="s">
        <v>86</v>
      </c>
      <c r="J161" s="87" t="e">
        <f>SUMIFS([2]Anl_20250630!$K$6:$K$173,[2]Anl_20250630!$A$6:$A$173,A161)</f>
        <v>#VALUE!</v>
      </c>
      <c r="K161" s="87">
        <f>_xlfn.IFNA(VLOOKUP(T161,[3]Rashodi_2026_RI!$A$18:$Z$10000,14,FALSE),0)</f>
        <v>500</v>
      </c>
      <c r="L161" s="87">
        <f>_xlfn.IFNA(VLOOKUP(T161,[3]Rashodi_2026_RI!$A$18:$Z$10000,15,FALSE),0)</f>
        <v>0</v>
      </c>
      <c r="M161" s="87" t="e">
        <f t="shared" si="59"/>
        <v>#VALUE!</v>
      </c>
      <c r="N161" s="87">
        <f t="shared" si="60"/>
        <v>0</v>
      </c>
      <c r="O161" s="31"/>
      <c r="T161" s="25" t="str">
        <f t="shared" si="52"/>
        <v>A2124024313225</v>
      </c>
    </row>
    <row r="162" spans="1:20" ht="20.100000000000001" hidden="1" customHeight="1" outlineLevel="1" x14ac:dyDescent="0.2">
      <c r="A162" s="25" t="str">
        <f t="shared" si="57"/>
        <v>A2124024313231</v>
      </c>
      <c r="B162" s="30" t="s">
        <v>472</v>
      </c>
      <c r="C162" s="26" t="s">
        <v>328</v>
      </c>
      <c r="D162" s="30">
        <v>431</v>
      </c>
      <c r="E162" s="30" t="str">
        <f t="shared" si="64"/>
        <v>3</v>
      </c>
      <c r="F162" s="30" t="str">
        <f t="shared" si="65"/>
        <v>32</v>
      </c>
      <c r="G162" s="26" t="str">
        <f t="shared" si="63"/>
        <v>323</v>
      </c>
      <c r="H162" s="86" t="s">
        <v>87</v>
      </c>
      <c r="I162" s="86" t="s">
        <v>89</v>
      </c>
      <c r="J162" s="87" t="e">
        <f>SUMIFS([2]Anl_20250630!$K$6:$K$173,[2]Anl_20250630!$A$6:$A$173,A162)</f>
        <v>#VALUE!</v>
      </c>
      <c r="K162" s="87">
        <f>_xlfn.IFNA(VLOOKUP(T162,[3]Rashodi_2026_RI!$A$18:$Z$10000,14,FALSE),0)</f>
        <v>0</v>
      </c>
      <c r="L162" s="87">
        <f>_xlfn.IFNA(VLOOKUP(T162,[3]Rashodi_2026_RI!$A$18:$Z$10000,15,FALSE),0)</f>
        <v>0</v>
      </c>
      <c r="M162" s="87" t="e">
        <f t="shared" si="59"/>
        <v>#VALUE!</v>
      </c>
      <c r="N162" s="87">
        <f t="shared" si="60"/>
        <v>0</v>
      </c>
      <c r="O162" s="31"/>
      <c r="T162" s="25" t="str">
        <f t="shared" si="52"/>
        <v>A2124024313231</v>
      </c>
    </row>
    <row r="163" spans="1:20" ht="20.100000000000001" hidden="1" customHeight="1" outlineLevel="1" x14ac:dyDescent="0.2">
      <c r="A163" s="25" t="str">
        <f t="shared" si="57"/>
        <v>A2124024313233</v>
      </c>
      <c r="B163" s="30" t="s">
        <v>472</v>
      </c>
      <c r="C163" s="26" t="s">
        <v>328</v>
      </c>
      <c r="D163" s="30">
        <v>431</v>
      </c>
      <c r="E163" s="30" t="str">
        <f t="shared" si="64"/>
        <v>3</v>
      </c>
      <c r="F163" s="30" t="str">
        <f t="shared" si="65"/>
        <v>32</v>
      </c>
      <c r="G163" s="26" t="str">
        <f t="shared" si="63"/>
        <v>323</v>
      </c>
      <c r="H163" s="86" t="s">
        <v>91</v>
      </c>
      <c r="I163" s="86" t="s">
        <v>93</v>
      </c>
      <c r="J163" s="87" t="e">
        <f>SUMIFS([2]Anl_20250630!$K$6:$K$173,[2]Anl_20250630!$A$6:$A$173,A163)</f>
        <v>#VALUE!</v>
      </c>
      <c r="K163" s="87">
        <f>_xlfn.IFNA(VLOOKUP(T163,[3]Rashodi_2026_RI!$A$18:$Z$10000,14,FALSE),0)</f>
        <v>4300</v>
      </c>
      <c r="L163" s="87">
        <f>_xlfn.IFNA(VLOOKUP(T163,[3]Rashodi_2026_RI!$A$18:$Z$10000,15,FALSE),0)</f>
        <v>250</v>
      </c>
      <c r="M163" s="87" t="e">
        <f t="shared" si="59"/>
        <v>#VALUE!</v>
      </c>
      <c r="N163" s="87">
        <f t="shared" si="60"/>
        <v>5.8139534883720927</v>
      </c>
      <c r="O163" s="31"/>
      <c r="T163" s="25" t="str">
        <f t="shared" si="52"/>
        <v>A2124024313233</v>
      </c>
    </row>
    <row r="164" spans="1:20" ht="20.100000000000001" hidden="1" customHeight="1" outlineLevel="1" x14ac:dyDescent="0.2">
      <c r="A164" s="25" t="str">
        <f t="shared" si="57"/>
        <v>A2124024313235</v>
      </c>
      <c r="B164" s="30" t="s">
        <v>472</v>
      </c>
      <c r="C164" s="26" t="s">
        <v>328</v>
      </c>
      <c r="D164" s="30">
        <v>431</v>
      </c>
      <c r="E164" s="30" t="str">
        <f t="shared" si="64"/>
        <v>3</v>
      </c>
      <c r="F164" s="30" t="str">
        <f t="shared" si="65"/>
        <v>32</v>
      </c>
      <c r="G164" s="26" t="str">
        <f t="shared" si="63"/>
        <v>323</v>
      </c>
      <c r="H164" s="86" t="s">
        <v>97</v>
      </c>
      <c r="I164" s="86" t="s">
        <v>99</v>
      </c>
      <c r="J164" s="87" t="e">
        <f>SUMIFS([2]Anl_20250630!$K$6:$K$173,[2]Anl_20250630!$A$6:$A$173,A164)</f>
        <v>#VALUE!</v>
      </c>
      <c r="K164" s="87">
        <f>_xlfn.IFNA(VLOOKUP(T164,[3]Rashodi_2026_RI!$A$18:$Z$10000,14,FALSE),0)</f>
        <v>0</v>
      </c>
      <c r="L164" s="87">
        <f>_xlfn.IFNA(VLOOKUP(T164,[3]Rashodi_2026_RI!$A$18:$Z$10000,15,FALSE),0)</f>
        <v>0</v>
      </c>
      <c r="M164" s="87" t="e">
        <f t="shared" si="59"/>
        <v>#VALUE!</v>
      </c>
      <c r="N164" s="87">
        <f t="shared" si="60"/>
        <v>0</v>
      </c>
      <c r="O164" s="31"/>
      <c r="T164" s="25" t="str">
        <f t="shared" ref="T164:T226" si="66">CONCATENATE(C164,D164,H164)</f>
        <v>A2124024313235</v>
      </c>
    </row>
    <row r="165" spans="1:20" ht="20.100000000000001" hidden="1" customHeight="1" outlineLevel="1" x14ac:dyDescent="0.2">
      <c r="A165" s="25" t="str">
        <f t="shared" si="57"/>
        <v>A2124024313237</v>
      </c>
      <c r="B165" s="30" t="s">
        <v>472</v>
      </c>
      <c r="C165" s="26" t="s">
        <v>328</v>
      </c>
      <c r="D165" s="30">
        <v>431</v>
      </c>
      <c r="E165" s="30" t="str">
        <f t="shared" si="64"/>
        <v>3</v>
      </c>
      <c r="F165" s="30" t="str">
        <f t="shared" si="65"/>
        <v>32</v>
      </c>
      <c r="G165" s="26" t="str">
        <f t="shared" si="63"/>
        <v>323</v>
      </c>
      <c r="H165" s="86" t="s">
        <v>41</v>
      </c>
      <c r="I165" s="86" t="s">
        <v>43</v>
      </c>
      <c r="J165" s="87" t="e">
        <f>SUMIFS([2]Anl_20250630!$K$6:$K$173,[2]Anl_20250630!$A$6:$A$173,A165)</f>
        <v>#VALUE!</v>
      </c>
      <c r="K165" s="87">
        <f>_xlfn.IFNA(VLOOKUP(T165,[3]Rashodi_2026_RI!$A$18:$Z$10000,14,FALSE),0)</f>
        <v>32500</v>
      </c>
      <c r="L165" s="87">
        <f>_xlfn.IFNA(VLOOKUP(T165,[3]Rashodi_2026_RI!$A$18:$Z$10000,15,FALSE),0)</f>
        <v>5380</v>
      </c>
      <c r="M165" s="87" t="e">
        <f t="shared" si="59"/>
        <v>#VALUE!</v>
      </c>
      <c r="N165" s="87">
        <f t="shared" si="60"/>
        <v>16.553846153846155</v>
      </c>
      <c r="O165" s="31"/>
      <c r="T165" s="25" t="str">
        <f t="shared" si="66"/>
        <v>A2124024313237</v>
      </c>
    </row>
    <row r="166" spans="1:20" ht="20.100000000000001" hidden="1" customHeight="1" outlineLevel="1" x14ac:dyDescent="0.2">
      <c r="A166" s="25" t="str">
        <f t="shared" si="57"/>
        <v>A2124024313238</v>
      </c>
      <c r="B166" s="30" t="s">
        <v>472</v>
      </c>
      <c r="C166" s="26" t="s">
        <v>328</v>
      </c>
      <c r="D166" s="30">
        <v>431</v>
      </c>
      <c r="E166" s="30" t="str">
        <f t="shared" si="64"/>
        <v>3</v>
      </c>
      <c r="F166" s="30" t="str">
        <f t="shared" si="65"/>
        <v>32</v>
      </c>
      <c r="G166" s="26" t="str">
        <f t="shared" si="63"/>
        <v>323</v>
      </c>
      <c r="H166" s="86" t="s">
        <v>104</v>
      </c>
      <c r="I166" s="86" t="s">
        <v>106</v>
      </c>
      <c r="J166" s="87" t="e">
        <f>SUMIFS([2]Anl_20250630!$K$6:$K$173,[2]Anl_20250630!$A$6:$A$173,A166)</f>
        <v>#VALUE!</v>
      </c>
      <c r="K166" s="87">
        <f>_xlfn.IFNA(VLOOKUP(T166,[3]Rashodi_2026_RI!$A$18:$Z$10000,14,FALSE),0)</f>
        <v>1000</v>
      </c>
      <c r="L166" s="87">
        <f>_xlfn.IFNA(VLOOKUP(T166,[3]Rashodi_2026_RI!$A$18:$Z$10000,15,FALSE),0)</f>
        <v>0</v>
      </c>
      <c r="M166" s="87" t="e">
        <f t="shared" si="59"/>
        <v>#VALUE!</v>
      </c>
      <c r="N166" s="87">
        <f t="shared" si="60"/>
        <v>0</v>
      </c>
      <c r="O166" s="31"/>
      <c r="T166" s="25" t="str">
        <f t="shared" si="66"/>
        <v>A2124024313238</v>
      </c>
    </row>
    <row r="167" spans="1:20" ht="20.100000000000001" hidden="1" customHeight="1" outlineLevel="1" x14ac:dyDescent="0.2">
      <c r="A167" s="25" t="str">
        <f t="shared" si="57"/>
        <v>A2124024313239</v>
      </c>
      <c r="B167" s="30" t="s">
        <v>472</v>
      </c>
      <c r="C167" s="26" t="s">
        <v>328</v>
      </c>
      <c r="D167" s="30">
        <v>431</v>
      </c>
      <c r="E167" s="30" t="str">
        <f t="shared" si="64"/>
        <v>3</v>
      </c>
      <c r="F167" s="30" t="str">
        <f t="shared" si="65"/>
        <v>32</v>
      </c>
      <c r="G167" s="26" t="str">
        <f t="shared" si="63"/>
        <v>323</v>
      </c>
      <c r="H167" s="86" t="s">
        <v>126</v>
      </c>
      <c r="I167" s="86" t="s">
        <v>128</v>
      </c>
      <c r="J167" s="87" t="e">
        <f>SUMIFS([2]Anl_20250630!$K$6:$K$173,[2]Anl_20250630!$A$6:$A$173,A167)</f>
        <v>#VALUE!</v>
      </c>
      <c r="K167" s="87">
        <f>_xlfn.IFNA(VLOOKUP(T167,[3]Rashodi_2026_RI!$A$18:$Z$10000,14,FALSE),0)</f>
        <v>11000</v>
      </c>
      <c r="L167" s="87">
        <f>_xlfn.IFNA(VLOOKUP(T167,[3]Rashodi_2026_RI!$A$18:$Z$10000,15,FALSE),0)</f>
        <v>717.28</v>
      </c>
      <c r="M167" s="87" t="e">
        <f t="shared" si="59"/>
        <v>#VALUE!</v>
      </c>
      <c r="N167" s="87">
        <f t="shared" si="60"/>
        <v>6.5207272727272727</v>
      </c>
      <c r="O167" s="31"/>
      <c r="T167" s="25" t="str">
        <f t="shared" si="66"/>
        <v>A2124024313239</v>
      </c>
    </row>
    <row r="168" spans="1:20" ht="20.100000000000001" hidden="1" customHeight="1" outlineLevel="1" x14ac:dyDescent="0.2">
      <c r="A168" s="25" t="str">
        <f t="shared" si="57"/>
        <v>A2124024313293</v>
      </c>
      <c r="B168" s="30" t="s">
        <v>472</v>
      </c>
      <c r="C168" s="26" t="s">
        <v>328</v>
      </c>
      <c r="D168" s="30">
        <v>431</v>
      </c>
      <c r="E168" s="30" t="str">
        <f t="shared" si="64"/>
        <v>3</v>
      </c>
      <c r="F168" s="30" t="str">
        <f t="shared" si="65"/>
        <v>32</v>
      </c>
      <c r="G168" s="26" t="str">
        <f t="shared" si="63"/>
        <v>329</v>
      </c>
      <c r="H168" s="86" t="s">
        <v>154</v>
      </c>
      <c r="I168" s="86" t="s">
        <v>156</v>
      </c>
      <c r="J168" s="87" t="e">
        <f>SUMIFS([2]Anl_20250630!$K$6:$K$173,[2]Anl_20250630!$A$6:$A$173,A168)</f>
        <v>#VALUE!</v>
      </c>
      <c r="K168" s="87">
        <f>_xlfn.IFNA(VLOOKUP(T168,[3]Rashodi_2026_RI!$A$18:$Z$10000,14,FALSE),0)</f>
        <v>3500</v>
      </c>
      <c r="L168" s="87">
        <f>_xlfn.IFNA(VLOOKUP(T168,[3]Rashodi_2026_RI!$A$18:$Z$10000,15,FALSE),0)</f>
        <v>663.79</v>
      </c>
      <c r="M168" s="87" t="e">
        <f t="shared" si="59"/>
        <v>#VALUE!</v>
      </c>
      <c r="N168" s="87">
        <f t="shared" si="60"/>
        <v>18.965428571428568</v>
      </c>
      <c r="O168" s="31" t="s">
        <v>354</v>
      </c>
      <c r="P168" s="25" t="s">
        <v>353</v>
      </c>
      <c r="T168" s="25" t="str">
        <f t="shared" si="66"/>
        <v>A2124024313293</v>
      </c>
    </row>
    <row r="169" spans="1:20" ht="24.95" customHeight="1" collapsed="1" x14ac:dyDescent="0.2">
      <c r="B169" s="30"/>
      <c r="H169" s="230" t="s">
        <v>581</v>
      </c>
      <c r="I169" s="230"/>
      <c r="J169" s="79" t="e">
        <f>SUMIFS(J170:J371,$C170:$C371,"A212402",$D170:$D371,"510")</f>
        <v>#VALUE!</v>
      </c>
      <c r="K169" s="79">
        <f>SUMIFS(K170:K371,$C170:$C371,"A212402",$D170:$D371,"510")</f>
        <v>54000</v>
      </c>
      <c r="L169" s="79">
        <f>SUMIFS(L170:L371,$C170:$C371,"A212402",$D170:$D371,"510")</f>
        <v>300</v>
      </c>
      <c r="M169" s="79" t="e">
        <f t="shared" si="59"/>
        <v>#VALUE!</v>
      </c>
      <c r="N169" s="79">
        <f t="shared" si="60"/>
        <v>0.55555555555555558</v>
      </c>
    </row>
    <row r="170" spans="1:20" ht="20.100000000000001" hidden="1" customHeight="1" outlineLevel="1" x14ac:dyDescent="0.2">
      <c r="A170" s="25" t="str">
        <f t="shared" si="57"/>
        <v>A2124025103211</v>
      </c>
      <c r="B170" s="30" t="s">
        <v>472</v>
      </c>
      <c r="C170" s="26" t="s">
        <v>328</v>
      </c>
      <c r="D170" s="30">
        <v>510</v>
      </c>
      <c r="E170" s="30" t="str">
        <f>LEFT(H170,1)</f>
        <v>3</v>
      </c>
      <c r="F170" s="30" t="str">
        <f>LEFT(H170,2)</f>
        <v>32</v>
      </c>
      <c r="G170" s="26" t="str">
        <f t="shared" ref="G170:G176" si="67">LEFT(H170,3)</f>
        <v>321</v>
      </c>
      <c r="H170" s="86" t="s">
        <v>130</v>
      </c>
      <c r="I170" s="86" t="s">
        <v>132</v>
      </c>
      <c r="J170" s="87" t="e">
        <f>SUMIFS([2]Anl_20250630!$K$6:$K$173,[2]Anl_20250630!$A$6:$A$173,A170)</f>
        <v>#VALUE!</v>
      </c>
      <c r="K170" s="87">
        <f>_xlfn.IFNA(VLOOKUP(T170,[3]Rashodi_2026_RI!$A$18:$Z$10000,14,FALSE),0)</f>
        <v>35000</v>
      </c>
      <c r="L170" s="87">
        <f>_xlfn.IFNA(VLOOKUP(T170,[3]Rashodi_2026_RI!$A$18:$Z$10000,15,FALSE),0)</f>
        <v>0</v>
      </c>
      <c r="M170" s="87" t="e">
        <f t="shared" si="59"/>
        <v>#VALUE!</v>
      </c>
      <c r="N170" s="87">
        <f t="shared" si="60"/>
        <v>0</v>
      </c>
      <c r="O170" s="31"/>
      <c r="T170" s="25" t="str">
        <f t="shared" si="66"/>
        <v>A2124025103211</v>
      </c>
    </row>
    <row r="171" spans="1:20" ht="20.100000000000001" hidden="1" customHeight="1" outlineLevel="1" x14ac:dyDescent="0.2">
      <c r="A171" s="25" t="str">
        <f t="shared" si="57"/>
        <v>A2124025103213</v>
      </c>
      <c r="B171" s="30" t="s">
        <v>472</v>
      </c>
      <c r="C171" s="26" t="s">
        <v>328</v>
      </c>
      <c r="D171" s="30">
        <v>510</v>
      </c>
      <c r="E171" s="30" t="str">
        <f>LEFT(H171,1)</f>
        <v>3</v>
      </c>
      <c r="F171" s="30" t="str">
        <f>LEFT(H171,2)</f>
        <v>32</v>
      </c>
      <c r="G171" s="26" t="str">
        <f t="shared" si="67"/>
        <v>321</v>
      </c>
      <c r="H171" s="86" t="s">
        <v>69</v>
      </c>
      <c r="I171" s="86" t="s">
        <v>71</v>
      </c>
      <c r="J171" s="87" t="e">
        <f>SUMIFS([2]Anl_20250630!$K$6:$K$173,[2]Anl_20250630!$A$6:$A$173,A171)</f>
        <v>#VALUE!</v>
      </c>
      <c r="K171" s="87">
        <f>_xlfn.IFNA(VLOOKUP(T171,[3]Rashodi_2026_RI!$A$18:$Z$10000,14,FALSE),0)</f>
        <v>9000</v>
      </c>
      <c r="L171" s="87">
        <f>_xlfn.IFNA(VLOOKUP(T171,[3]Rashodi_2026_RI!$A$18:$Z$10000,15,FALSE),0)</f>
        <v>0</v>
      </c>
      <c r="M171" s="87" t="e">
        <f t="shared" si="59"/>
        <v>#VALUE!</v>
      </c>
      <c r="N171" s="87">
        <f t="shared" si="60"/>
        <v>0</v>
      </c>
      <c r="O171" s="31"/>
      <c r="T171" s="25" t="str">
        <f t="shared" si="66"/>
        <v>A2124025103213</v>
      </c>
    </row>
    <row r="172" spans="1:20" ht="20.100000000000001" hidden="1" customHeight="1" outlineLevel="1" x14ac:dyDescent="0.2">
      <c r="A172" s="25" t="str">
        <f t="shared" si="57"/>
        <v>A2124025103222</v>
      </c>
      <c r="B172" s="30" t="s">
        <v>472</v>
      </c>
      <c r="C172" s="26" t="s">
        <v>328</v>
      </c>
      <c r="D172" s="30">
        <v>510</v>
      </c>
      <c r="E172" s="30" t="str">
        <f t="shared" ref="E172" si="68">LEFT(H172,1)</f>
        <v>3</v>
      </c>
      <c r="F172" s="30" t="str">
        <f t="shared" ref="F172" si="69">LEFT(H172,2)</f>
        <v>32</v>
      </c>
      <c r="G172" s="26" t="str">
        <f t="shared" si="67"/>
        <v>322</v>
      </c>
      <c r="H172" s="86" t="s">
        <v>75</v>
      </c>
      <c r="I172" s="86" t="s">
        <v>77</v>
      </c>
      <c r="J172" s="87" t="e">
        <f>SUMIFS([2]Anl_20250630!$K$6:$K$173,[2]Anl_20250630!$A$6:$A$173,A172)</f>
        <v>#VALUE!</v>
      </c>
      <c r="K172" s="87">
        <f>_xlfn.IFNA(VLOOKUP(T172,[3]Rashodi_2026_RI!$A$18:$Z$10000,14,FALSE),0)</f>
        <v>0</v>
      </c>
      <c r="L172" s="87">
        <f>_xlfn.IFNA(VLOOKUP(T172,[3]Rashodi_2026_RI!$A$18:$Z$10000,15,FALSE),0)</f>
        <v>0</v>
      </c>
      <c r="M172" s="87" t="e">
        <f t="shared" si="59"/>
        <v>#VALUE!</v>
      </c>
      <c r="N172" s="87">
        <f t="shared" si="60"/>
        <v>0</v>
      </c>
      <c r="O172" s="31"/>
      <c r="T172" s="25" t="str">
        <f t="shared" si="66"/>
        <v>A2124025103222</v>
      </c>
    </row>
    <row r="173" spans="1:20" ht="20.100000000000001" hidden="1" customHeight="1" outlineLevel="1" x14ac:dyDescent="0.2">
      <c r="A173" s="25" t="str">
        <f t="shared" ref="A173:A237" si="70">CONCATENATE(C173,D173,H173)</f>
        <v>A2124025103232</v>
      </c>
      <c r="B173" s="30" t="s">
        <v>472</v>
      </c>
      <c r="C173" s="26" t="s">
        <v>328</v>
      </c>
      <c r="D173" s="30">
        <v>510</v>
      </c>
      <c r="E173" s="30" t="str">
        <f>LEFT(H173,1)</f>
        <v>3</v>
      </c>
      <c r="F173" s="30" t="str">
        <f>LEFT(H173,2)</f>
        <v>32</v>
      </c>
      <c r="G173" s="26" t="str">
        <f t="shared" si="67"/>
        <v>323</v>
      </c>
      <c r="H173" s="86" t="s">
        <v>38</v>
      </c>
      <c r="I173" s="86" t="s">
        <v>40</v>
      </c>
      <c r="J173" s="87" t="e">
        <f>SUMIFS([2]Anl_20250630!$K$6:$K$173,[2]Anl_20250630!$A$6:$A$173,A173)</f>
        <v>#VALUE!</v>
      </c>
      <c r="K173" s="87">
        <f>_xlfn.IFNA(VLOOKUP(T173,[3]Rashodi_2026_RI!$A$18:$Z$10000,14,FALSE),0)</f>
        <v>0</v>
      </c>
      <c r="L173" s="87">
        <f>_xlfn.IFNA(VLOOKUP(T173,[3]Rashodi_2026_RI!$A$18:$Z$10000,15,FALSE),0)</f>
        <v>0</v>
      </c>
      <c r="M173" s="87" t="e">
        <f t="shared" si="59"/>
        <v>#VALUE!</v>
      </c>
      <c r="N173" s="87">
        <f t="shared" si="60"/>
        <v>0</v>
      </c>
      <c r="O173" s="31"/>
      <c r="T173" s="25" t="str">
        <f t="shared" si="66"/>
        <v>A2124025103232</v>
      </c>
    </row>
    <row r="174" spans="1:20" ht="20.100000000000001" hidden="1" customHeight="1" outlineLevel="1" x14ac:dyDescent="0.2">
      <c r="A174" s="25" t="str">
        <f t="shared" si="70"/>
        <v>A2124025103233</v>
      </c>
      <c r="B174" s="30" t="s">
        <v>472</v>
      </c>
      <c r="C174" s="26" t="s">
        <v>328</v>
      </c>
      <c r="D174" s="30">
        <v>510</v>
      </c>
      <c r="E174" s="30" t="str">
        <f>LEFT(H174,1)</f>
        <v>3</v>
      </c>
      <c r="F174" s="30" t="str">
        <f>LEFT(H174,2)</f>
        <v>32</v>
      </c>
      <c r="G174" s="26" t="str">
        <f t="shared" si="67"/>
        <v>323</v>
      </c>
      <c r="H174" s="86" t="s">
        <v>91</v>
      </c>
      <c r="I174" s="86" t="s">
        <v>93</v>
      </c>
      <c r="J174" s="87" t="e">
        <f>SUMIFS([2]Anl_20250630!$K$6:$K$173,[2]Anl_20250630!$A$6:$A$173,A174)</f>
        <v>#VALUE!</v>
      </c>
      <c r="K174" s="87">
        <f>_xlfn.IFNA(VLOOKUP(T174,[3]Rashodi_2026_RI!$A$18:$Z$10000,14,FALSE),0)</f>
        <v>4500</v>
      </c>
      <c r="L174" s="87">
        <f>_xlfn.IFNA(VLOOKUP(T174,[3]Rashodi_2026_RI!$A$18:$Z$10000,15,FALSE),0)</f>
        <v>0</v>
      </c>
      <c r="M174" s="87" t="e">
        <f t="shared" si="59"/>
        <v>#VALUE!</v>
      </c>
      <c r="N174" s="87">
        <f t="shared" si="60"/>
        <v>0</v>
      </c>
      <c r="O174" s="31"/>
      <c r="T174" s="25" t="str">
        <f t="shared" si="66"/>
        <v>A2124025103233</v>
      </c>
    </row>
    <row r="175" spans="1:20" ht="20.100000000000001" hidden="1" customHeight="1" outlineLevel="1" x14ac:dyDescent="0.2">
      <c r="A175" s="25" t="str">
        <f t="shared" si="70"/>
        <v>A2124025103237</v>
      </c>
      <c r="B175" s="30" t="s">
        <v>472</v>
      </c>
      <c r="C175" s="26" t="s">
        <v>328</v>
      </c>
      <c r="D175" s="30">
        <v>510</v>
      </c>
      <c r="E175" s="30" t="str">
        <f t="shared" ref="E175" si="71">LEFT(H175,1)</f>
        <v>3</v>
      </c>
      <c r="F175" s="30" t="str">
        <f t="shared" ref="F175" si="72">LEFT(H175,2)</f>
        <v>32</v>
      </c>
      <c r="G175" s="26" t="str">
        <f t="shared" si="67"/>
        <v>323</v>
      </c>
      <c r="H175" s="86" t="s">
        <v>41</v>
      </c>
      <c r="I175" s="86" t="s">
        <v>43</v>
      </c>
      <c r="J175" s="87" t="e">
        <f>SUMIFS([2]Anl_20250630!$K$6:$K$173,[2]Anl_20250630!$A$6:$A$173,A175)</f>
        <v>#VALUE!</v>
      </c>
      <c r="K175" s="87">
        <f>_xlfn.IFNA(VLOOKUP(T175,[3]Rashodi_2026_RI!$A$18:$Z$10000,14,FALSE),0)</f>
        <v>1500</v>
      </c>
      <c r="L175" s="87">
        <f>_xlfn.IFNA(VLOOKUP(T175,[3]Rashodi_2026_RI!$A$18:$Z$10000,15,FALSE),0)</f>
        <v>300</v>
      </c>
      <c r="M175" s="87" t="e">
        <f t="shared" si="59"/>
        <v>#VALUE!</v>
      </c>
      <c r="N175" s="87">
        <f t="shared" si="60"/>
        <v>20</v>
      </c>
      <c r="O175" s="31"/>
      <c r="T175" s="25" t="str">
        <f t="shared" si="66"/>
        <v>A2124025103237</v>
      </c>
    </row>
    <row r="176" spans="1:20" ht="20.100000000000001" hidden="1" customHeight="1" outlineLevel="1" x14ac:dyDescent="0.2">
      <c r="A176" s="25" t="str">
        <f t="shared" si="70"/>
        <v>A2124025103293</v>
      </c>
      <c r="B176" s="30" t="s">
        <v>472</v>
      </c>
      <c r="C176" s="26" t="s">
        <v>328</v>
      </c>
      <c r="D176" s="30">
        <v>510</v>
      </c>
      <c r="E176" s="30" t="str">
        <f>LEFT(H176,1)</f>
        <v>3</v>
      </c>
      <c r="F176" s="30" t="str">
        <f>LEFT(H176,2)</f>
        <v>32</v>
      </c>
      <c r="G176" s="26" t="str">
        <f t="shared" si="67"/>
        <v>329</v>
      </c>
      <c r="H176" s="86" t="s">
        <v>154</v>
      </c>
      <c r="I176" s="86" t="s">
        <v>156</v>
      </c>
      <c r="J176" s="87" t="e">
        <f>SUMIFS([2]Anl_20250630!$K$6:$K$173,[2]Anl_20250630!$A$6:$A$173,A176)</f>
        <v>#VALUE!</v>
      </c>
      <c r="K176" s="87">
        <f>_xlfn.IFNA(VLOOKUP(T176,[3]Rashodi_2026_RI!$A$18:$Z$10000,14,FALSE),0)</f>
        <v>4000</v>
      </c>
      <c r="L176" s="87">
        <f>_xlfn.IFNA(VLOOKUP(T176,[3]Rashodi_2026_RI!$A$18:$Z$10000,15,FALSE),0)</f>
        <v>0</v>
      </c>
      <c r="M176" s="87" t="e">
        <f t="shared" si="59"/>
        <v>#VALUE!</v>
      </c>
      <c r="N176" s="87">
        <f t="shared" si="60"/>
        <v>0</v>
      </c>
      <c r="O176" s="31"/>
      <c r="T176" s="25" t="str">
        <f t="shared" si="66"/>
        <v>A2124025103293</v>
      </c>
    </row>
    <row r="177" spans="1:20" ht="24.95" customHeight="1" collapsed="1" x14ac:dyDescent="0.2">
      <c r="B177" s="30"/>
      <c r="H177" s="230" t="s">
        <v>26</v>
      </c>
      <c r="I177" s="230"/>
      <c r="J177" s="79" t="e">
        <f>SUMIFS(J178:J367,$C178:$C367,"A212402",$D178:$D367,"521")</f>
        <v>#VALUE!</v>
      </c>
      <c r="K177" s="79">
        <f>SUMIFS(K178:K367,$C178:$C367,"A212402",$D178:$D367,"521")</f>
        <v>79900</v>
      </c>
      <c r="L177" s="79">
        <f>SUMIFS(L178:L367,$C178:$C367,"A212402",$D178:$D367,"521")</f>
        <v>36651.31</v>
      </c>
      <c r="M177" s="79" t="e">
        <f t="shared" si="59"/>
        <v>#VALUE!</v>
      </c>
      <c r="N177" s="79">
        <f t="shared" si="60"/>
        <v>45.871476846057568</v>
      </c>
      <c r="O177" s="25">
        <f>SUMIFS(O178:O367,$C178:$C367,"A212402",$D178:$D367,"521")</f>
        <v>65022.73</v>
      </c>
      <c r="P177" s="25">
        <f>SUMIFS(P178:P367,$C178:$C367,"A212402",$D178:$D367,"521")</f>
        <v>5160.45</v>
      </c>
    </row>
    <row r="178" spans="1:20" ht="20.100000000000001" hidden="1" customHeight="1" outlineLevel="1" x14ac:dyDescent="0.2">
      <c r="A178" s="25" t="str">
        <f t="shared" si="70"/>
        <v>A2124025213111</v>
      </c>
      <c r="B178" s="30" t="s">
        <v>472</v>
      </c>
      <c r="C178" s="26" t="s">
        <v>328</v>
      </c>
      <c r="D178" s="30">
        <v>521</v>
      </c>
      <c r="E178" s="30" t="str">
        <f t="shared" ref="E178:E195" si="73">LEFT(H178,1)</f>
        <v>3</v>
      </c>
      <c r="F178" s="30" t="str">
        <f t="shared" ref="F178:F195" si="74">LEFT(H178,2)</f>
        <v>31</v>
      </c>
      <c r="G178" s="26" t="str">
        <f t="shared" si="63"/>
        <v>311</v>
      </c>
      <c r="H178" s="212" t="s">
        <v>57</v>
      </c>
      <c r="I178" s="86" t="s">
        <v>59</v>
      </c>
      <c r="J178" s="87" t="e">
        <f>SUMIFS([2]Anl_20250630!$K$6:$K$173,[2]Anl_20250630!$A$6:$A$173,A178)</f>
        <v>#VALUE!</v>
      </c>
      <c r="K178" s="87">
        <f>_xlfn.IFNA(VLOOKUP(T178,[3]Rashodi_2026_RI!$A$18:$Z$10000,14,FALSE),0)</f>
        <v>0</v>
      </c>
      <c r="L178" s="87">
        <f>_xlfn.IFNA(VLOOKUP(T178,[3]Rashodi_2026_RI!$A$18:$Z$10000,15,FALSE),0)</f>
        <v>0</v>
      </c>
      <c r="M178" s="87" t="e">
        <f t="shared" si="59"/>
        <v>#VALUE!</v>
      </c>
      <c r="N178" s="87">
        <f t="shared" si="60"/>
        <v>0</v>
      </c>
      <c r="O178" s="31">
        <v>3575.79</v>
      </c>
      <c r="T178" s="25" t="str">
        <f t="shared" si="66"/>
        <v>A2124025213111</v>
      </c>
    </row>
    <row r="179" spans="1:20" ht="20.100000000000001" hidden="1" customHeight="1" outlineLevel="1" x14ac:dyDescent="0.2">
      <c r="A179" s="25" t="str">
        <f t="shared" si="70"/>
        <v>A2124025213211</v>
      </c>
      <c r="B179" s="30" t="s">
        <v>472</v>
      </c>
      <c r="C179" s="26" t="s">
        <v>328</v>
      </c>
      <c r="D179" s="30">
        <v>521</v>
      </c>
      <c r="E179" s="30" t="str">
        <f t="shared" si="73"/>
        <v>3</v>
      </c>
      <c r="F179" s="30" t="str">
        <f t="shared" si="74"/>
        <v>32</v>
      </c>
      <c r="G179" s="26" t="str">
        <f t="shared" si="63"/>
        <v>321</v>
      </c>
      <c r="H179" s="212" t="s">
        <v>130</v>
      </c>
      <c r="I179" s="86" t="s">
        <v>132</v>
      </c>
      <c r="J179" s="87" t="e">
        <f>SUMIFS([2]Anl_20250630!$K$6:$K$173,[2]Anl_20250630!$A$6:$A$173,A179)</f>
        <v>#VALUE!</v>
      </c>
      <c r="K179" s="87">
        <f>_xlfn.IFNA(VLOOKUP(T179,[3]Rashodi_2026_RI!$A$18:$Z$10000,14,FALSE),0)</f>
        <v>3000</v>
      </c>
      <c r="L179" s="87">
        <f>_xlfn.IFNA(VLOOKUP(T179,[3]Rashodi_2026_RI!$A$18:$Z$10000,15,FALSE),0)</f>
        <v>6195</v>
      </c>
      <c r="M179" s="87" t="e">
        <f t="shared" si="59"/>
        <v>#VALUE!</v>
      </c>
      <c r="N179" s="87">
        <f t="shared" si="60"/>
        <v>206.5</v>
      </c>
      <c r="O179" s="31"/>
      <c r="T179" s="25" t="str">
        <f t="shared" si="66"/>
        <v>A2124025213211</v>
      </c>
    </row>
    <row r="180" spans="1:20" ht="20.100000000000001" hidden="1" customHeight="1" outlineLevel="1" x14ac:dyDescent="0.2">
      <c r="A180" s="25" t="str">
        <f t="shared" si="70"/>
        <v>A2124025213213</v>
      </c>
      <c r="B180" s="30" t="s">
        <v>472</v>
      </c>
      <c r="C180" s="26" t="s">
        <v>328</v>
      </c>
      <c r="D180" s="30">
        <v>521</v>
      </c>
      <c r="E180" s="30" t="str">
        <f t="shared" si="73"/>
        <v>3</v>
      </c>
      <c r="F180" s="30" t="str">
        <f t="shared" si="74"/>
        <v>32</v>
      </c>
      <c r="G180" s="26" t="str">
        <f t="shared" si="63"/>
        <v>321</v>
      </c>
      <c r="H180" s="86" t="s">
        <v>69</v>
      </c>
      <c r="I180" s="86" t="s">
        <v>71</v>
      </c>
      <c r="J180" s="87" t="e">
        <f>SUMIFS([2]Anl_20250630!$K$6:$K$173,[2]Anl_20250630!$A$6:$A$173,A180)</f>
        <v>#VALUE!</v>
      </c>
      <c r="K180" s="87">
        <f>_xlfn.IFNA(VLOOKUP(T180,[3]Rashodi_2026_RI!$A$18:$Z$10000,14,FALSE),0)</f>
        <v>4000</v>
      </c>
      <c r="L180" s="87">
        <f>_xlfn.IFNA(VLOOKUP(T180,[3]Rashodi_2026_RI!$A$18:$Z$10000,15,FALSE),0)</f>
        <v>3068.76</v>
      </c>
      <c r="M180" s="87" t="e">
        <f t="shared" si="59"/>
        <v>#VALUE!</v>
      </c>
      <c r="N180" s="87">
        <f t="shared" si="60"/>
        <v>76.719000000000008</v>
      </c>
      <c r="O180" s="31">
        <v>1395</v>
      </c>
      <c r="T180" s="25" t="str">
        <f t="shared" si="66"/>
        <v>A2124025213213</v>
      </c>
    </row>
    <row r="181" spans="1:20" ht="20.100000000000001" hidden="1" customHeight="1" outlineLevel="1" x14ac:dyDescent="0.2">
      <c r="A181" s="25" t="str">
        <f t="shared" si="70"/>
        <v>A2124025213221</v>
      </c>
      <c r="B181" s="30" t="s">
        <v>472</v>
      </c>
      <c r="C181" s="26" t="s">
        <v>328</v>
      </c>
      <c r="D181" s="30">
        <v>521</v>
      </c>
      <c r="E181" s="30" t="str">
        <f t="shared" si="73"/>
        <v>3</v>
      </c>
      <c r="F181" s="30" t="str">
        <f t="shared" si="74"/>
        <v>32</v>
      </c>
      <c r="G181" s="26" t="str">
        <f t="shared" si="63"/>
        <v>322</v>
      </c>
      <c r="H181" s="86" t="s">
        <v>72</v>
      </c>
      <c r="I181" s="86" t="s">
        <v>74</v>
      </c>
      <c r="J181" s="87" t="e">
        <f>SUMIFS([2]Anl_20250630!$K$6:$K$173,[2]Anl_20250630!$A$6:$A$173,A181)</f>
        <v>#VALUE!</v>
      </c>
      <c r="K181" s="87">
        <f>_xlfn.IFNA(VLOOKUP(T181,[3]Rashodi_2026_RI!$A$18:$Z$10000,14,FALSE),0)</f>
        <v>0</v>
      </c>
      <c r="L181" s="87">
        <f>_xlfn.IFNA(VLOOKUP(T181,[3]Rashodi_2026_RI!$A$18:$Z$10000,15,FALSE),0)</f>
        <v>0</v>
      </c>
      <c r="M181" s="87" t="e">
        <f t="shared" si="59"/>
        <v>#VALUE!</v>
      </c>
      <c r="N181" s="87">
        <f t="shared" si="60"/>
        <v>0</v>
      </c>
      <c r="O181" s="31"/>
      <c r="T181" s="25" t="str">
        <f t="shared" si="66"/>
        <v>A2124025213221</v>
      </c>
    </row>
    <row r="182" spans="1:20" ht="20.100000000000001" hidden="1" customHeight="1" outlineLevel="1" x14ac:dyDescent="0.2">
      <c r="A182" s="25" t="str">
        <f t="shared" si="70"/>
        <v>A2124025213222</v>
      </c>
      <c r="B182" s="30" t="s">
        <v>472</v>
      </c>
      <c r="C182" s="26" t="s">
        <v>328</v>
      </c>
      <c r="D182" s="30">
        <v>521</v>
      </c>
      <c r="E182" s="30" t="str">
        <f t="shared" si="73"/>
        <v>3</v>
      </c>
      <c r="F182" s="30" t="str">
        <f t="shared" si="74"/>
        <v>32</v>
      </c>
      <c r="G182" s="26" t="str">
        <f t="shared" si="63"/>
        <v>322</v>
      </c>
      <c r="H182" s="86" t="s">
        <v>75</v>
      </c>
      <c r="I182" s="86" t="s">
        <v>77</v>
      </c>
      <c r="J182" s="87" t="e">
        <f>SUMIFS([2]Anl_20250630!$K$6:$K$173,[2]Anl_20250630!$A$6:$A$173,A182)</f>
        <v>#VALUE!</v>
      </c>
      <c r="K182" s="87">
        <f>_xlfn.IFNA(VLOOKUP(T182,[3]Rashodi_2026_RI!$A$18:$Z$10000,14,FALSE),0)</f>
        <v>11300</v>
      </c>
      <c r="L182" s="87">
        <f>_xlfn.IFNA(VLOOKUP(T182,[3]Rashodi_2026_RI!$A$18:$Z$10000,15,FALSE),0)</f>
        <v>1475.31</v>
      </c>
      <c r="M182" s="87" t="e">
        <f t="shared" si="59"/>
        <v>#VALUE!</v>
      </c>
      <c r="N182" s="87">
        <f t="shared" si="60"/>
        <v>13.055840707964601</v>
      </c>
      <c r="O182" s="31">
        <v>636.55999999999995</v>
      </c>
      <c r="T182" s="25" t="str">
        <f t="shared" si="66"/>
        <v>A2124025213222</v>
      </c>
    </row>
    <row r="183" spans="1:20" ht="20.100000000000001" hidden="1" customHeight="1" outlineLevel="1" x14ac:dyDescent="0.2">
      <c r="A183" s="25" t="str">
        <f t="shared" si="70"/>
        <v>A2124025213223</v>
      </c>
      <c r="B183" s="30" t="s">
        <v>472</v>
      </c>
      <c r="C183" s="26" t="s">
        <v>328</v>
      </c>
      <c r="D183" s="30">
        <v>521</v>
      </c>
      <c r="E183" s="30" t="str">
        <f t="shared" si="73"/>
        <v>3</v>
      </c>
      <c r="F183" s="30" t="str">
        <f t="shared" si="74"/>
        <v>32</v>
      </c>
      <c r="G183" s="26" t="str">
        <f t="shared" si="63"/>
        <v>322</v>
      </c>
      <c r="H183" s="86" t="s">
        <v>78</v>
      </c>
      <c r="I183" s="86" t="s">
        <v>80</v>
      </c>
      <c r="J183" s="87" t="e">
        <f>SUMIFS([2]Anl_20250630!$K$6:$K$173,[2]Anl_20250630!$A$6:$A$173,A183)</f>
        <v>#VALUE!</v>
      </c>
      <c r="K183" s="87">
        <f>_xlfn.IFNA(VLOOKUP(T183,[3]Rashodi_2026_RI!$A$18:$Z$10000,14,FALSE),0)</f>
        <v>0</v>
      </c>
      <c r="L183" s="87">
        <f>_xlfn.IFNA(VLOOKUP(T183,[3]Rashodi_2026_RI!$A$18:$Z$10000,15,FALSE),0)</f>
        <v>0</v>
      </c>
      <c r="M183" s="87" t="e">
        <f t="shared" si="59"/>
        <v>#VALUE!</v>
      </c>
      <c r="N183" s="87">
        <f t="shared" si="60"/>
        <v>0</v>
      </c>
      <c r="O183" s="31">
        <v>0</v>
      </c>
      <c r="T183" s="25" t="str">
        <f t="shared" si="66"/>
        <v>A2124025213223</v>
      </c>
    </row>
    <row r="184" spans="1:20" ht="20.100000000000001" hidden="1" customHeight="1" outlineLevel="1" x14ac:dyDescent="0.2">
      <c r="A184" s="25" t="str">
        <f t="shared" si="70"/>
        <v>A2124025213224</v>
      </c>
      <c r="B184" s="30" t="s">
        <v>472</v>
      </c>
      <c r="C184" s="26" t="s">
        <v>328</v>
      </c>
      <c r="D184" s="30">
        <v>521</v>
      </c>
      <c r="E184" s="30" t="str">
        <f t="shared" si="73"/>
        <v>3</v>
      </c>
      <c r="F184" s="30" t="str">
        <f t="shared" si="74"/>
        <v>32</v>
      </c>
      <c r="G184" s="26" t="str">
        <f t="shared" si="63"/>
        <v>322</v>
      </c>
      <c r="H184" s="86" t="s">
        <v>81</v>
      </c>
      <c r="I184" s="86" t="s">
        <v>83</v>
      </c>
      <c r="J184" s="87" t="e">
        <f>SUMIFS([2]Anl_20250630!$K$6:$K$173,[2]Anl_20250630!$A$6:$A$173,A184)</f>
        <v>#VALUE!</v>
      </c>
      <c r="K184" s="87">
        <f>_xlfn.IFNA(VLOOKUP(T184,[3]Rashodi_2026_RI!$A$18:$Z$10000,14,FALSE),0)</f>
        <v>0</v>
      </c>
      <c r="L184" s="87">
        <f>_xlfn.IFNA(VLOOKUP(T184,[3]Rashodi_2026_RI!$A$18:$Z$10000,15,FALSE),0)</f>
        <v>0</v>
      </c>
      <c r="M184" s="87" t="e">
        <f t="shared" si="59"/>
        <v>#VALUE!</v>
      </c>
      <c r="N184" s="87">
        <f t="shared" si="60"/>
        <v>0</v>
      </c>
      <c r="O184" s="31"/>
      <c r="T184" s="25" t="str">
        <f t="shared" si="66"/>
        <v>A2124025213224</v>
      </c>
    </row>
    <row r="185" spans="1:20" ht="20.100000000000001" hidden="1" customHeight="1" outlineLevel="1" x14ac:dyDescent="0.2">
      <c r="A185" s="25" t="str">
        <f t="shared" si="70"/>
        <v>A2124025213225</v>
      </c>
      <c r="B185" s="30" t="s">
        <v>472</v>
      </c>
      <c r="C185" s="26" t="s">
        <v>328</v>
      </c>
      <c r="D185" s="30">
        <v>521</v>
      </c>
      <c r="E185" s="30" t="str">
        <f t="shared" si="73"/>
        <v>3</v>
      </c>
      <c r="F185" s="30" t="str">
        <f t="shared" si="74"/>
        <v>32</v>
      </c>
      <c r="G185" s="26" t="str">
        <f t="shared" si="63"/>
        <v>322</v>
      </c>
      <c r="H185" s="86" t="s">
        <v>84</v>
      </c>
      <c r="I185" s="86" t="s">
        <v>86</v>
      </c>
      <c r="J185" s="87" t="e">
        <f>SUMIFS([2]Anl_20250630!$K$6:$K$173,[2]Anl_20250630!$A$6:$A$173,A185)</f>
        <v>#VALUE!</v>
      </c>
      <c r="K185" s="87">
        <f>_xlfn.IFNA(VLOOKUP(T185,[3]Rashodi_2026_RI!$A$18:$Z$10000,14,FALSE),0)</f>
        <v>0</v>
      </c>
      <c r="L185" s="87">
        <f>_xlfn.IFNA(VLOOKUP(T185,[3]Rashodi_2026_RI!$A$18:$Z$10000,15,FALSE),0)</f>
        <v>0</v>
      </c>
      <c r="M185" s="87" t="e">
        <f t="shared" si="59"/>
        <v>#VALUE!</v>
      </c>
      <c r="N185" s="87">
        <f t="shared" si="60"/>
        <v>0</v>
      </c>
      <c r="O185" s="31"/>
      <c r="T185" s="25" t="str">
        <f t="shared" si="66"/>
        <v>A2124025213225</v>
      </c>
    </row>
    <row r="186" spans="1:20" ht="20.100000000000001" hidden="1" customHeight="1" outlineLevel="1" x14ac:dyDescent="0.2">
      <c r="A186" s="25" t="str">
        <f t="shared" si="70"/>
        <v>A2124025213231</v>
      </c>
      <c r="B186" s="30" t="s">
        <v>472</v>
      </c>
      <c r="C186" s="26" t="s">
        <v>328</v>
      </c>
      <c r="D186" s="30">
        <v>521</v>
      </c>
      <c r="E186" s="30" t="str">
        <f t="shared" si="73"/>
        <v>3</v>
      </c>
      <c r="F186" s="30" t="str">
        <f t="shared" si="74"/>
        <v>32</v>
      </c>
      <c r="G186" s="26" t="str">
        <f t="shared" si="63"/>
        <v>323</v>
      </c>
      <c r="H186" s="86" t="s">
        <v>87</v>
      </c>
      <c r="I186" s="86" t="s">
        <v>89</v>
      </c>
      <c r="J186" s="87" t="e">
        <f>SUMIFS([2]Anl_20250630!$K$6:$K$173,[2]Anl_20250630!$A$6:$A$173,A186)</f>
        <v>#VALUE!</v>
      </c>
      <c r="K186" s="87">
        <f>_xlfn.IFNA(VLOOKUP(T186,[3]Rashodi_2026_RI!$A$18:$Z$10000,14,FALSE),0)</f>
        <v>0</v>
      </c>
      <c r="L186" s="87">
        <f>_xlfn.IFNA(VLOOKUP(T186,[3]Rashodi_2026_RI!$A$18:$Z$10000,15,FALSE),0)</f>
        <v>0</v>
      </c>
      <c r="M186" s="87" t="e">
        <f t="shared" si="59"/>
        <v>#VALUE!</v>
      </c>
      <c r="N186" s="87">
        <f t="shared" si="60"/>
        <v>0</v>
      </c>
      <c r="O186" s="31"/>
      <c r="T186" s="25" t="str">
        <f t="shared" si="66"/>
        <v>A2124025213231</v>
      </c>
    </row>
    <row r="187" spans="1:20" ht="20.100000000000001" hidden="1" customHeight="1" outlineLevel="1" x14ac:dyDescent="0.2">
      <c r="A187" s="25" t="str">
        <f t="shared" si="70"/>
        <v>A2124025213233</v>
      </c>
      <c r="B187" s="30" t="s">
        <v>472</v>
      </c>
      <c r="C187" s="26" t="s">
        <v>328</v>
      </c>
      <c r="D187" s="30">
        <v>521</v>
      </c>
      <c r="E187" s="30" t="str">
        <f t="shared" si="73"/>
        <v>3</v>
      </c>
      <c r="F187" s="30" t="str">
        <f t="shared" si="74"/>
        <v>32</v>
      </c>
      <c r="G187" s="26" t="str">
        <f t="shared" si="63"/>
        <v>323</v>
      </c>
      <c r="H187" s="86" t="s">
        <v>91</v>
      </c>
      <c r="I187" s="86" t="s">
        <v>93</v>
      </c>
      <c r="J187" s="87" t="e">
        <f>SUMIFS([2]Anl_20250630!$K$6:$K$173,[2]Anl_20250630!$A$6:$A$173,A187)</f>
        <v>#VALUE!</v>
      </c>
      <c r="K187" s="87">
        <f>_xlfn.IFNA(VLOOKUP(T187,[3]Rashodi_2026_RI!$A$18:$Z$10000,14,FALSE),0)</f>
        <v>1800</v>
      </c>
      <c r="L187" s="87">
        <f>_xlfn.IFNA(VLOOKUP(T187,[3]Rashodi_2026_RI!$A$18:$Z$10000,15,FALSE),0)</f>
        <v>0</v>
      </c>
      <c r="M187" s="87" t="e">
        <f t="shared" si="59"/>
        <v>#VALUE!</v>
      </c>
      <c r="N187" s="87">
        <f t="shared" si="60"/>
        <v>0</v>
      </c>
      <c r="O187" s="31">
        <v>364.8</v>
      </c>
      <c r="T187" s="25" t="str">
        <f t="shared" si="66"/>
        <v>A2124025213233</v>
      </c>
    </row>
    <row r="188" spans="1:20" ht="20.100000000000001" hidden="1" customHeight="1" outlineLevel="1" x14ac:dyDescent="0.2">
      <c r="A188" s="25" t="str">
        <f t="shared" si="70"/>
        <v>A2124025213235</v>
      </c>
      <c r="B188" s="30" t="s">
        <v>472</v>
      </c>
      <c r="C188" s="26" t="s">
        <v>328</v>
      </c>
      <c r="D188" s="30">
        <v>521</v>
      </c>
      <c r="E188" s="30" t="str">
        <f t="shared" si="73"/>
        <v>3</v>
      </c>
      <c r="F188" s="30" t="str">
        <f t="shared" si="74"/>
        <v>32</v>
      </c>
      <c r="G188" s="26" t="str">
        <f t="shared" si="63"/>
        <v>323</v>
      </c>
      <c r="H188" s="86" t="s">
        <v>97</v>
      </c>
      <c r="I188" s="86" t="s">
        <v>99</v>
      </c>
      <c r="J188" s="87" t="e">
        <f>SUMIFS([2]Anl_20250630!$K$6:$K$173,[2]Anl_20250630!$A$6:$A$173,A188)</f>
        <v>#VALUE!</v>
      </c>
      <c r="K188" s="87">
        <f>_xlfn.IFNA(VLOOKUP(T188,[3]Rashodi_2026_RI!$A$18:$Z$10000,14,FALSE),0)</f>
        <v>0</v>
      </c>
      <c r="L188" s="87">
        <f>_xlfn.IFNA(VLOOKUP(T188,[3]Rashodi_2026_RI!$A$18:$Z$10000,15,FALSE),0)</f>
        <v>0</v>
      </c>
      <c r="M188" s="87" t="e">
        <f t="shared" si="59"/>
        <v>#VALUE!</v>
      </c>
      <c r="N188" s="87">
        <f t="shared" si="60"/>
        <v>0</v>
      </c>
      <c r="O188" s="31"/>
      <c r="T188" s="25" t="str">
        <f t="shared" si="66"/>
        <v>A2124025213235</v>
      </c>
    </row>
    <row r="189" spans="1:20" ht="20.100000000000001" hidden="1" customHeight="1" outlineLevel="1" x14ac:dyDescent="0.2">
      <c r="A189" s="25" t="str">
        <f t="shared" si="70"/>
        <v>A2124025213237</v>
      </c>
      <c r="B189" s="30" t="s">
        <v>472</v>
      </c>
      <c r="C189" s="26" t="s">
        <v>328</v>
      </c>
      <c r="D189" s="30">
        <v>521</v>
      </c>
      <c r="E189" s="30" t="str">
        <f t="shared" si="73"/>
        <v>3</v>
      </c>
      <c r="F189" s="30" t="str">
        <f t="shared" si="74"/>
        <v>32</v>
      </c>
      <c r="G189" s="26" t="str">
        <f t="shared" si="63"/>
        <v>323</v>
      </c>
      <c r="H189" s="86" t="s">
        <v>41</v>
      </c>
      <c r="I189" s="86" t="s">
        <v>43</v>
      </c>
      <c r="J189" s="87" t="e">
        <f>SUMIFS([2]Anl_20250630!$K$6:$K$173,[2]Anl_20250630!$A$6:$A$173,A189)</f>
        <v>#VALUE!</v>
      </c>
      <c r="K189" s="87">
        <f>_xlfn.IFNA(VLOOKUP(T189,[3]Rashodi_2026_RI!$A$18:$Z$10000,14,FALSE),0)</f>
        <v>30000</v>
      </c>
      <c r="L189" s="87">
        <f>_xlfn.IFNA(VLOOKUP(T189,[3]Rashodi_2026_RI!$A$18:$Z$10000,15,FALSE),0)</f>
        <v>18999.98</v>
      </c>
      <c r="M189" s="87" t="e">
        <f t="shared" si="59"/>
        <v>#VALUE!</v>
      </c>
      <c r="N189" s="87">
        <f t="shared" si="60"/>
        <v>63.333266666666667</v>
      </c>
      <c r="O189" s="31">
        <v>26500.66</v>
      </c>
      <c r="P189" s="25">
        <v>1015</v>
      </c>
      <c r="T189" s="25" t="str">
        <f t="shared" si="66"/>
        <v>A2124025213237</v>
      </c>
    </row>
    <row r="190" spans="1:20" ht="20.100000000000001" hidden="1" customHeight="1" outlineLevel="1" x14ac:dyDescent="0.2">
      <c r="A190" s="25" t="str">
        <f t="shared" si="70"/>
        <v>A2124025213238</v>
      </c>
      <c r="B190" s="30" t="s">
        <v>472</v>
      </c>
      <c r="C190" s="26" t="s">
        <v>328</v>
      </c>
      <c r="D190" s="30">
        <v>521</v>
      </c>
      <c r="E190" s="30" t="str">
        <f t="shared" si="73"/>
        <v>3</v>
      </c>
      <c r="F190" s="30" t="str">
        <f t="shared" si="74"/>
        <v>32</v>
      </c>
      <c r="G190" s="26" t="str">
        <f t="shared" si="63"/>
        <v>323</v>
      </c>
      <c r="H190" s="86" t="s">
        <v>104</v>
      </c>
      <c r="I190" s="86" t="s">
        <v>106</v>
      </c>
      <c r="J190" s="87" t="e">
        <f>SUMIFS([2]Anl_20250630!$K$6:$K$173,[2]Anl_20250630!$A$6:$A$173,A190)</f>
        <v>#VALUE!</v>
      </c>
      <c r="K190" s="87">
        <f>_xlfn.IFNA(VLOOKUP(T190,[3]Rashodi_2026_RI!$A$18:$Z$10000,14,FALSE),0)</f>
        <v>13500</v>
      </c>
      <c r="L190" s="87">
        <f>_xlfn.IFNA(VLOOKUP(T190,[3]Rashodi_2026_RI!$A$18:$Z$10000,15,FALSE),0)</f>
        <v>82.5</v>
      </c>
      <c r="M190" s="87" t="e">
        <f t="shared" si="59"/>
        <v>#VALUE!</v>
      </c>
      <c r="N190" s="87">
        <f t="shared" si="60"/>
        <v>0.61111111111111116</v>
      </c>
      <c r="O190" s="31">
        <v>14082.5</v>
      </c>
      <c r="T190" s="25" t="str">
        <f t="shared" si="66"/>
        <v>A2124025213238</v>
      </c>
    </row>
    <row r="191" spans="1:20" ht="20.100000000000001" hidden="1" customHeight="1" outlineLevel="1" x14ac:dyDescent="0.2">
      <c r="A191" s="25" t="str">
        <f t="shared" si="70"/>
        <v>A2124025213239</v>
      </c>
      <c r="B191" s="30" t="s">
        <v>472</v>
      </c>
      <c r="C191" s="26" t="s">
        <v>328</v>
      </c>
      <c r="D191" s="30">
        <v>521</v>
      </c>
      <c r="E191" s="30" t="str">
        <f t="shared" si="73"/>
        <v>3</v>
      </c>
      <c r="F191" s="30" t="str">
        <f t="shared" si="74"/>
        <v>32</v>
      </c>
      <c r="G191" s="26" t="str">
        <f t="shared" si="63"/>
        <v>323</v>
      </c>
      <c r="H191" s="86" t="s">
        <v>126</v>
      </c>
      <c r="I191" s="86" t="s">
        <v>128</v>
      </c>
      <c r="J191" s="87" t="e">
        <f>SUMIFS([2]Anl_20250630!$K$6:$K$173,[2]Anl_20250630!$A$6:$A$173,A191)</f>
        <v>#VALUE!</v>
      </c>
      <c r="K191" s="87">
        <f>_xlfn.IFNA(VLOOKUP(T191,[3]Rashodi_2026_RI!$A$18:$Z$10000,14,FALSE),0)</f>
        <v>11000</v>
      </c>
      <c r="L191" s="87">
        <f>_xlfn.IFNA(VLOOKUP(T191,[3]Rashodi_2026_RI!$A$18:$Z$10000,15,FALSE),0)</f>
        <v>3972.33</v>
      </c>
      <c r="M191" s="87" t="e">
        <f t="shared" si="59"/>
        <v>#VALUE!</v>
      </c>
      <c r="N191" s="87">
        <f t="shared" si="60"/>
        <v>36.112090909090909</v>
      </c>
      <c r="O191" s="31">
        <v>14449.94</v>
      </c>
      <c r="P191" s="25">
        <v>4120.45</v>
      </c>
      <c r="T191" s="25" t="str">
        <f t="shared" si="66"/>
        <v>A2124025213239</v>
      </c>
    </row>
    <row r="192" spans="1:20" ht="20.100000000000001" hidden="1" customHeight="1" outlineLevel="1" x14ac:dyDescent="0.2">
      <c r="A192" s="25" t="str">
        <f t="shared" si="70"/>
        <v>A2124025213241</v>
      </c>
      <c r="B192" s="30" t="s">
        <v>472</v>
      </c>
      <c r="C192" s="26" t="s">
        <v>328</v>
      </c>
      <c r="D192" s="30">
        <v>521</v>
      </c>
      <c r="E192" s="30" t="str">
        <f t="shared" si="73"/>
        <v>3</v>
      </c>
      <c r="F192" s="30" t="str">
        <f t="shared" si="74"/>
        <v>32</v>
      </c>
      <c r="G192" s="26" t="str">
        <f t="shared" si="63"/>
        <v>324</v>
      </c>
      <c r="H192" s="86" t="s">
        <v>150</v>
      </c>
      <c r="I192" s="86" t="s">
        <v>152</v>
      </c>
      <c r="J192" s="87" t="e">
        <f>SUMIFS([2]Anl_20250630!$K$6:$K$173,[2]Anl_20250630!$A$6:$A$173,A192)</f>
        <v>#VALUE!</v>
      </c>
      <c r="K192" s="87">
        <f>_xlfn.IFNA(VLOOKUP(T192,[3]Rashodi_2026_RI!$A$18:$Z$10000,14,FALSE),0)</f>
        <v>0</v>
      </c>
      <c r="L192" s="87">
        <f>_xlfn.IFNA(VLOOKUP(T192,[3]Rashodi_2026_RI!$A$18:$Z$10000,15,FALSE),0)</f>
        <v>283.44</v>
      </c>
      <c r="M192" s="87" t="e">
        <f t="shared" si="59"/>
        <v>#VALUE!</v>
      </c>
      <c r="N192" s="87">
        <f t="shared" si="60"/>
        <v>0</v>
      </c>
      <c r="O192" s="31">
        <v>407.3</v>
      </c>
      <c r="T192" s="25" t="str">
        <f t="shared" si="66"/>
        <v>A2124025213241</v>
      </c>
    </row>
    <row r="193" spans="1:20" ht="20.100000000000001" hidden="1" customHeight="1" outlineLevel="1" x14ac:dyDescent="0.2">
      <c r="A193" s="25" t="str">
        <f t="shared" si="70"/>
        <v>A2124025213293</v>
      </c>
      <c r="B193" s="30" t="s">
        <v>472</v>
      </c>
      <c r="C193" s="26" t="s">
        <v>328</v>
      </c>
      <c r="D193" s="30">
        <v>521</v>
      </c>
      <c r="E193" s="30" t="str">
        <f t="shared" si="73"/>
        <v>3</v>
      </c>
      <c r="F193" s="30" t="str">
        <f t="shared" si="74"/>
        <v>32</v>
      </c>
      <c r="G193" s="26" t="str">
        <f t="shared" si="63"/>
        <v>329</v>
      </c>
      <c r="H193" s="86" t="s">
        <v>154</v>
      </c>
      <c r="I193" s="86" t="s">
        <v>156</v>
      </c>
      <c r="J193" s="87" t="e">
        <f>SUMIFS([2]Anl_20250630!$K$6:$K$173,[2]Anl_20250630!$A$6:$A$173,A193)</f>
        <v>#VALUE!</v>
      </c>
      <c r="K193" s="87">
        <f>_xlfn.IFNA(VLOOKUP(T193,[3]Rashodi_2026_RI!$A$18:$Z$10000,14,FALSE),0)</f>
        <v>3300</v>
      </c>
      <c r="L193" s="87">
        <f>_xlfn.IFNA(VLOOKUP(T193,[3]Rashodi_2026_RI!$A$18:$Z$10000,15,FALSE),0)</f>
        <v>573.99</v>
      </c>
      <c r="M193" s="87" t="e">
        <f t="shared" si="59"/>
        <v>#VALUE!</v>
      </c>
      <c r="N193" s="87">
        <f t="shared" si="60"/>
        <v>17.393636363636364</v>
      </c>
      <c r="O193" s="31">
        <v>1610.18</v>
      </c>
      <c r="P193" s="25">
        <v>25</v>
      </c>
      <c r="T193" s="25" t="str">
        <f t="shared" si="66"/>
        <v>A2124025213293</v>
      </c>
    </row>
    <row r="194" spans="1:20" ht="20.100000000000001" hidden="1" customHeight="1" outlineLevel="1" x14ac:dyDescent="0.2">
      <c r="A194" s="25" t="str">
        <f t="shared" si="70"/>
        <v>A2124025213294</v>
      </c>
      <c r="B194" s="30" t="s">
        <v>472</v>
      </c>
      <c r="C194" s="26" t="s">
        <v>328</v>
      </c>
      <c r="D194" s="30">
        <v>521</v>
      </c>
      <c r="E194" s="30" t="str">
        <f t="shared" si="73"/>
        <v>3</v>
      </c>
      <c r="F194" s="30" t="str">
        <f t="shared" si="74"/>
        <v>32</v>
      </c>
      <c r="G194" s="26" t="str">
        <f t="shared" si="63"/>
        <v>329</v>
      </c>
      <c r="H194" s="86" t="s">
        <v>113</v>
      </c>
      <c r="I194" s="86" t="s">
        <v>115</v>
      </c>
      <c r="J194" s="87" t="e">
        <f>SUMIFS([2]Anl_20250630!$K$6:$K$173,[2]Anl_20250630!$A$6:$A$173,A194)</f>
        <v>#VALUE!</v>
      </c>
      <c r="K194" s="87">
        <f>_xlfn.IFNA(VLOOKUP(T194,[3]Rashodi_2026_RI!$A$18:$Z$10000,14,FALSE),0)</f>
        <v>2000</v>
      </c>
      <c r="L194" s="87">
        <f>_xlfn.IFNA(VLOOKUP(T194,[3]Rashodi_2026_RI!$A$18:$Z$10000,15,FALSE),0)</f>
        <v>2000</v>
      </c>
      <c r="M194" s="87" t="e">
        <f t="shared" si="59"/>
        <v>#VALUE!</v>
      </c>
      <c r="N194" s="87">
        <f t="shared" si="60"/>
        <v>100</v>
      </c>
      <c r="O194" s="31">
        <v>2000</v>
      </c>
      <c r="T194" s="25" t="str">
        <f t="shared" si="66"/>
        <v>A2124025213294</v>
      </c>
    </row>
    <row r="195" spans="1:20" ht="20.100000000000001" hidden="1" customHeight="1" outlineLevel="1" x14ac:dyDescent="0.2">
      <c r="A195" s="25" t="str">
        <f t="shared" si="70"/>
        <v>A2124025213299</v>
      </c>
      <c r="B195" s="30" t="s">
        <v>472</v>
      </c>
      <c r="C195" s="26" t="s">
        <v>328</v>
      </c>
      <c r="D195" s="30">
        <v>521</v>
      </c>
      <c r="E195" s="30" t="str">
        <f t="shared" si="73"/>
        <v>3</v>
      </c>
      <c r="F195" s="30" t="str">
        <f t="shared" si="74"/>
        <v>32</v>
      </c>
      <c r="G195" s="26" t="str">
        <f t="shared" si="63"/>
        <v>329</v>
      </c>
      <c r="H195" s="86" t="s">
        <v>159</v>
      </c>
      <c r="I195" s="86" t="s">
        <v>161</v>
      </c>
      <c r="J195" s="87" t="e">
        <f>SUMIFS([2]Anl_20250630!$K$6:$K$173,[2]Anl_20250630!$A$6:$A$173,A195)</f>
        <v>#VALUE!</v>
      </c>
      <c r="K195" s="87">
        <f>_xlfn.IFNA(VLOOKUP(T195,[3]Rashodi_2026_RI!$A$18:$Z$10000,14,FALSE),0)</f>
        <v>0</v>
      </c>
      <c r="L195" s="87">
        <f>_xlfn.IFNA(VLOOKUP(T195,[3]Rashodi_2026_RI!$A$18:$Z$10000,15,FALSE),0)</f>
        <v>0</v>
      </c>
      <c r="M195" s="87" t="e">
        <f t="shared" si="59"/>
        <v>#VALUE!</v>
      </c>
      <c r="N195" s="87">
        <f t="shared" si="60"/>
        <v>0</v>
      </c>
      <c r="O195" s="31"/>
      <c r="T195" s="25" t="str">
        <f t="shared" si="66"/>
        <v>A2124025213299</v>
      </c>
    </row>
    <row r="196" spans="1:20" ht="24.95" customHeight="1" collapsed="1" x14ac:dyDescent="0.2">
      <c r="B196" s="30"/>
      <c r="H196" s="230" t="s">
        <v>34</v>
      </c>
      <c r="I196" s="230"/>
      <c r="J196" s="79" t="e">
        <f>SUMIFS(J197:J385,$C197:$C385,"A212402",$D197:$D385,"541")</f>
        <v>#VALUE!</v>
      </c>
      <c r="K196" s="79">
        <f t="shared" ref="K196:L196" si="75">SUMIFS(K197:K385,$C197:$C385,"A212402",$D197:$D385,"541")</f>
        <v>0</v>
      </c>
      <c r="L196" s="79">
        <f t="shared" si="75"/>
        <v>709.69</v>
      </c>
      <c r="M196" s="79" t="e">
        <f t="shared" si="59"/>
        <v>#VALUE!</v>
      </c>
      <c r="N196" s="79">
        <f t="shared" si="60"/>
        <v>0</v>
      </c>
      <c r="O196" s="25">
        <f>SUMIFS(O198:O385,$C198:$C385,"A212402",$D198:$D385,"541")</f>
        <v>1780.37</v>
      </c>
      <c r="P196" s="25">
        <f>SUMIFS(P198:P385,$C198:$C385,"A212402",$D198:$D385,"541")</f>
        <v>1023.75</v>
      </c>
    </row>
    <row r="197" spans="1:20" ht="20.100000000000001" hidden="1" customHeight="1" outlineLevel="1" x14ac:dyDescent="0.2">
      <c r="A197" s="25" t="str">
        <f t="shared" si="70"/>
        <v>A2124025413211</v>
      </c>
      <c r="B197" s="30" t="s">
        <v>472</v>
      </c>
      <c r="C197" s="26" t="s">
        <v>328</v>
      </c>
      <c r="D197" s="30">
        <v>541</v>
      </c>
      <c r="E197" s="30" t="str">
        <f t="shared" ref="E197:E205" si="76">LEFT(H197,1)</f>
        <v>3</v>
      </c>
      <c r="F197" s="30" t="str">
        <f t="shared" ref="F197:F205" si="77">LEFT(H197,2)</f>
        <v>32</v>
      </c>
      <c r="G197" s="26" t="str">
        <f t="shared" ref="G197" si="78">LEFT(H197,3)</f>
        <v>321</v>
      </c>
      <c r="H197" s="212" t="s">
        <v>130</v>
      </c>
      <c r="I197" s="86" t="s">
        <v>132</v>
      </c>
      <c r="J197" s="87" t="e">
        <f>SUMIFS([2]Anl_20250630!$K$6:$K$173,[2]Anl_20250630!$A$6:$A$173,A197)</f>
        <v>#VALUE!</v>
      </c>
      <c r="K197" s="87">
        <f>_xlfn.IFNA(VLOOKUP(T197,[3]Rashodi_2026_RI!$A$18:$Z$10000,14,FALSE),0)</f>
        <v>0</v>
      </c>
      <c r="L197" s="87">
        <f>_xlfn.IFNA(VLOOKUP(T197,[3]Rashodi_2026_RI!$A$18:$Z$10000,15,FALSE),0)</f>
        <v>0</v>
      </c>
      <c r="M197" s="87" t="e">
        <f t="shared" si="59"/>
        <v>#VALUE!</v>
      </c>
      <c r="N197" s="87">
        <f t="shared" si="60"/>
        <v>0</v>
      </c>
      <c r="O197" s="31"/>
      <c r="T197" s="25" t="str">
        <f t="shared" si="66"/>
        <v>A2124025413211</v>
      </c>
    </row>
    <row r="198" spans="1:20" ht="20.100000000000001" hidden="1" customHeight="1" outlineLevel="1" x14ac:dyDescent="0.2">
      <c r="A198" s="25" t="str">
        <f t="shared" si="70"/>
        <v>A2124025413221</v>
      </c>
      <c r="B198" s="30" t="s">
        <v>472</v>
      </c>
      <c r="C198" s="26" t="s">
        <v>328</v>
      </c>
      <c r="D198" s="30">
        <v>541</v>
      </c>
      <c r="E198" s="30" t="str">
        <f t="shared" si="76"/>
        <v>3</v>
      </c>
      <c r="F198" s="30" t="str">
        <f t="shared" si="77"/>
        <v>32</v>
      </c>
      <c r="G198" s="26" t="str">
        <f t="shared" si="63"/>
        <v>322</v>
      </c>
      <c r="H198" s="86" t="s">
        <v>72</v>
      </c>
      <c r="I198" s="86" t="s">
        <v>74</v>
      </c>
      <c r="J198" s="87" t="e">
        <f>SUMIFS([2]Anl_20250630!$K$6:$K$173,[2]Anl_20250630!$A$6:$A$173,A198)</f>
        <v>#VALUE!</v>
      </c>
      <c r="K198" s="87">
        <f>_xlfn.IFNA(VLOOKUP(T198,[3]Rashodi_2026_RI!$A$18:$Z$10000,14,FALSE),0)</f>
        <v>0</v>
      </c>
      <c r="L198" s="87">
        <f>_xlfn.IFNA(VLOOKUP(T198,[3]Rashodi_2026_RI!$A$18:$Z$10000,15,FALSE),0)</f>
        <v>0</v>
      </c>
      <c r="M198" s="87" t="e">
        <f t="shared" si="59"/>
        <v>#VALUE!</v>
      </c>
      <c r="N198" s="87">
        <f t="shared" si="60"/>
        <v>0</v>
      </c>
      <c r="O198" s="31">
        <v>10.5</v>
      </c>
      <c r="T198" s="25" t="str">
        <f t="shared" si="66"/>
        <v>A2124025413221</v>
      </c>
    </row>
    <row r="199" spans="1:20" ht="20.100000000000001" hidden="1" customHeight="1" outlineLevel="1" x14ac:dyDescent="0.2">
      <c r="A199" s="25" t="str">
        <f t="shared" si="70"/>
        <v>A2124025413222</v>
      </c>
      <c r="B199" s="30" t="s">
        <v>472</v>
      </c>
      <c r="C199" s="26" t="s">
        <v>328</v>
      </c>
      <c r="D199" s="30">
        <v>541</v>
      </c>
      <c r="E199" s="30" t="str">
        <f t="shared" si="76"/>
        <v>3</v>
      </c>
      <c r="F199" s="30" t="str">
        <f t="shared" si="77"/>
        <v>32</v>
      </c>
      <c r="G199" s="26" t="str">
        <f t="shared" si="63"/>
        <v>322</v>
      </c>
      <c r="H199" s="86" t="s">
        <v>75</v>
      </c>
      <c r="I199" s="86" t="s">
        <v>77</v>
      </c>
      <c r="J199" s="87" t="e">
        <f>SUMIFS([2]Anl_20250630!$K$6:$K$173,[2]Anl_20250630!$A$6:$A$173,A199)</f>
        <v>#VALUE!</v>
      </c>
      <c r="K199" s="87">
        <f>_xlfn.IFNA(VLOOKUP(T199,[3]Rashodi_2026_RI!$A$18:$Z$10000,14,FALSE),0)</f>
        <v>0</v>
      </c>
      <c r="L199" s="87">
        <f>_xlfn.IFNA(VLOOKUP(T199,[3]Rashodi_2026_RI!$A$18:$Z$10000,15,FALSE),0)</f>
        <v>9.69</v>
      </c>
      <c r="M199" s="87" t="e">
        <f t="shared" si="59"/>
        <v>#VALUE!</v>
      </c>
      <c r="N199" s="87">
        <f t="shared" si="60"/>
        <v>0</v>
      </c>
      <c r="O199" s="31">
        <v>7.98</v>
      </c>
      <c r="T199" s="25" t="str">
        <f t="shared" si="66"/>
        <v>A2124025413222</v>
      </c>
    </row>
    <row r="200" spans="1:20" ht="20.100000000000001" hidden="1" customHeight="1" outlineLevel="1" x14ac:dyDescent="0.2">
      <c r="A200" s="25" t="str">
        <f t="shared" si="70"/>
        <v>A2124025413224</v>
      </c>
      <c r="B200" s="30" t="s">
        <v>472</v>
      </c>
      <c r="C200" s="26" t="s">
        <v>328</v>
      </c>
      <c r="D200" s="30">
        <v>541</v>
      </c>
      <c r="E200" s="30" t="str">
        <f t="shared" si="76"/>
        <v>3</v>
      </c>
      <c r="F200" s="30" t="str">
        <f t="shared" si="77"/>
        <v>32</v>
      </c>
      <c r="G200" s="26" t="str">
        <f t="shared" si="63"/>
        <v>322</v>
      </c>
      <c r="H200" s="86" t="s">
        <v>81</v>
      </c>
      <c r="I200" s="86" t="s">
        <v>83</v>
      </c>
      <c r="J200" s="87" t="e">
        <f>SUMIFS([2]Anl_20250630!$K$6:$K$173,[2]Anl_20250630!$A$6:$A$173,A200)</f>
        <v>#VALUE!</v>
      </c>
      <c r="K200" s="87">
        <f>_xlfn.IFNA(VLOOKUP(T200,[3]Rashodi_2026_RI!$A$18:$Z$10000,14,FALSE),0)</f>
        <v>0</v>
      </c>
      <c r="L200" s="87">
        <f>_xlfn.IFNA(VLOOKUP(T200,[3]Rashodi_2026_RI!$A$18:$Z$10000,15,FALSE),0)</f>
        <v>0</v>
      </c>
      <c r="M200" s="87" t="e">
        <f t="shared" si="59"/>
        <v>#VALUE!</v>
      </c>
      <c r="N200" s="87">
        <f t="shared" si="60"/>
        <v>0</v>
      </c>
      <c r="O200" s="31"/>
      <c r="T200" s="25" t="str">
        <f t="shared" si="66"/>
        <v>A2124025413224</v>
      </c>
    </row>
    <row r="201" spans="1:20" ht="20.100000000000001" hidden="1" customHeight="1" outlineLevel="1" x14ac:dyDescent="0.2">
      <c r="A201" s="25" t="str">
        <f t="shared" si="70"/>
        <v>A2124025413233</v>
      </c>
      <c r="B201" s="30" t="s">
        <v>472</v>
      </c>
      <c r="C201" s="26" t="s">
        <v>328</v>
      </c>
      <c r="D201" s="30">
        <v>541</v>
      </c>
      <c r="E201" s="30" t="str">
        <f t="shared" si="76"/>
        <v>3</v>
      </c>
      <c r="F201" s="30" t="str">
        <f t="shared" si="77"/>
        <v>32</v>
      </c>
      <c r="G201" s="26" t="str">
        <f t="shared" si="63"/>
        <v>323</v>
      </c>
      <c r="H201" s="86" t="s">
        <v>91</v>
      </c>
      <c r="I201" s="86" t="s">
        <v>93</v>
      </c>
      <c r="J201" s="87" t="e">
        <f>SUMIFS([2]Anl_20250630!$K$6:$K$173,[2]Anl_20250630!$A$6:$A$173,A201)</f>
        <v>#VALUE!</v>
      </c>
      <c r="K201" s="87">
        <f>_xlfn.IFNA(VLOOKUP(T201,[3]Rashodi_2026_RI!$A$18:$Z$10000,14,FALSE),0)</f>
        <v>0</v>
      </c>
      <c r="L201" s="87">
        <f>_xlfn.IFNA(VLOOKUP(T201,[3]Rashodi_2026_RI!$A$18:$Z$10000,15,FALSE),0)</f>
        <v>0</v>
      </c>
      <c r="M201" s="87" t="e">
        <f t="shared" si="59"/>
        <v>#VALUE!</v>
      </c>
      <c r="N201" s="87">
        <f t="shared" si="60"/>
        <v>0</v>
      </c>
      <c r="O201" s="31"/>
      <c r="P201" s="25">
        <v>1023.75</v>
      </c>
      <c r="T201" s="25" t="str">
        <f t="shared" si="66"/>
        <v>A2124025413233</v>
      </c>
    </row>
    <row r="202" spans="1:20" ht="20.100000000000001" hidden="1" customHeight="1" outlineLevel="1" x14ac:dyDescent="0.2">
      <c r="A202" s="25" t="str">
        <f t="shared" si="70"/>
        <v>A2124025413237</v>
      </c>
      <c r="B202" s="30" t="s">
        <v>472</v>
      </c>
      <c r="C202" s="26" t="s">
        <v>328</v>
      </c>
      <c r="D202" s="30">
        <v>541</v>
      </c>
      <c r="E202" s="30" t="str">
        <f t="shared" si="76"/>
        <v>3</v>
      </c>
      <c r="F202" s="30" t="str">
        <f t="shared" si="77"/>
        <v>32</v>
      </c>
      <c r="G202" s="26" t="str">
        <f t="shared" si="63"/>
        <v>323</v>
      </c>
      <c r="H202" s="86" t="s">
        <v>41</v>
      </c>
      <c r="I202" s="86" t="s">
        <v>43</v>
      </c>
      <c r="J202" s="87" t="e">
        <f>SUMIFS([2]Anl_20250630!$K$6:$K$173,[2]Anl_20250630!$A$6:$A$173,A202)</f>
        <v>#VALUE!</v>
      </c>
      <c r="K202" s="87">
        <f>_xlfn.IFNA(VLOOKUP(T202,[3]Rashodi_2026_RI!$A$18:$Z$10000,14,FALSE),0)</f>
        <v>0</v>
      </c>
      <c r="L202" s="87">
        <f>_xlfn.IFNA(VLOOKUP(T202,[3]Rashodi_2026_RI!$A$18:$Z$10000,15,FALSE),0)</f>
        <v>700</v>
      </c>
      <c r="M202" s="87" t="e">
        <f t="shared" si="59"/>
        <v>#VALUE!</v>
      </c>
      <c r="N202" s="87">
        <f t="shared" si="60"/>
        <v>0</v>
      </c>
      <c r="O202" s="31">
        <v>730.64</v>
      </c>
      <c r="T202" s="25" t="str">
        <f t="shared" si="66"/>
        <v>A2124025413237</v>
      </c>
    </row>
    <row r="203" spans="1:20" ht="20.100000000000001" hidden="1" customHeight="1" outlineLevel="1" x14ac:dyDescent="0.2">
      <c r="A203" s="25" t="str">
        <f t="shared" si="70"/>
        <v>A2124025413239</v>
      </c>
      <c r="B203" s="30" t="s">
        <v>472</v>
      </c>
      <c r="C203" s="26" t="s">
        <v>328</v>
      </c>
      <c r="D203" s="30">
        <v>541</v>
      </c>
      <c r="E203" s="30" t="str">
        <f t="shared" si="76"/>
        <v>3</v>
      </c>
      <c r="F203" s="30" t="str">
        <f t="shared" si="77"/>
        <v>32</v>
      </c>
      <c r="G203" s="26" t="str">
        <f t="shared" si="63"/>
        <v>323</v>
      </c>
      <c r="H203" s="86" t="s">
        <v>126</v>
      </c>
      <c r="I203" s="86" t="s">
        <v>128</v>
      </c>
      <c r="J203" s="87" t="e">
        <f>SUMIFS([2]Anl_20250630!$K$6:$K$173,[2]Anl_20250630!$A$6:$A$173,A203)</f>
        <v>#VALUE!</v>
      </c>
      <c r="K203" s="87">
        <f>_xlfn.IFNA(VLOOKUP(T203,[3]Rashodi_2026_RI!$A$18:$Z$10000,14,FALSE),0)</f>
        <v>0</v>
      </c>
      <c r="L203" s="87">
        <f>_xlfn.IFNA(VLOOKUP(T203,[3]Rashodi_2026_RI!$A$18:$Z$10000,15,FALSE),0)</f>
        <v>0</v>
      </c>
      <c r="M203" s="87" t="e">
        <f t="shared" si="59"/>
        <v>#VALUE!</v>
      </c>
      <c r="N203" s="87">
        <f t="shared" si="60"/>
        <v>0</v>
      </c>
      <c r="O203" s="31">
        <v>343.75</v>
      </c>
      <c r="T203" s="25" t="str">
        <f t="shared" si="66"/>
        <v>A2124025413239</v>
      </c>
    </row>
    <row r="204" spans="1:20" ht="20.100000000000001" hidden="1" customHeight="1" outlineLevel="1" x14ac:dyDescent="0.2">
      <c r="A204" s="25" t="str">
        <f t="shared" si="70"/>
        <v>A2124025413293</v>
      </c>
      <c r="B204" s="30" t="s">
        <v>472</v>
      </c>
      <c r="C204" s="26" t="s">
        <v>328</v>
      </c>
      <c r="D204" s="30">
        <v>541</v>
      </c>
      <c r="E204" s="30" t="str">
        <f t="shared" si="76"/>
        <v>3</v>
      </c>
      <c r="F204" s="30" t="str">
        <f t="shared" si="77"/>
        <v>32</v>
      </c>
      <c r="G204" s="26" t="str">
        <f t="shared" si="63"/>
        <v>329</v>
      </c>
      <c r="H204" s="86" t="s">
        <v>154</v>
      </c>
      <c r="I204" s="86" t="s">
        <v>156</v>
      </c>
      <c r="J204" s="87" t="e">
        <f>SUMIFS([2]Anl_20250630!$K$6:$K$173,[2]Anl_20250630!$A$6:$A$173,A204)</f>
        <v>#VALUE!</v>
      </c>
      <c r="K204" s="87">
        <f>_xlfn.IFNA(VLOOKUP(T204,[3]Rashodi_2026_RI!$A$18:$Z$10000,14,FALSE),0)</f>
        <v>0</v>
      </c>
      <c r="L204" s="87">
        <f>_xlfn.IFNA(VLOOKUP(T204,[3]Rashodi_2026_RI!$A$18:$Z$10000,15,FALSE),0)</f>
        <v>0</v>
      </c>
      <c r="M204" s="87" t="e">
        <f t="shared" si="59"/>
        <v>#VALUE!</v>
      </c>
      <c r="N204" s="87">
        <f t="shared" si="60"/>
        <v>0</v>
      </c>
      <c r="O204" s="31">
        <v>343.75</v>
      </c>
      <c r="T204" s="25" t="str">
        <f t="shared" si="66"/>
        <v>A2124025413293</v>
      </c>
    </row>
    <row r="205" spans="1:20" ht="20.100000000000001" hidden="1" customHeight="1" outlineLevel="1" x14ac:dyDescent="0.2">
      <c r="A205" s="25" t="str">
        <f t="shared" si="70"/>
        <v>A2124025414221</v>
      </c>
      <c r="B205" s="30" t="s">
        <v>472</v>
      </c>
      <c r="C205" s="26" t="s">
        <v>328</v>
      </c>
      <c r="D205" s="30">
        <v>541</v>
      </c>
      <c r="E205" s="30" t="str">
        <f t="shared" si="76"/>
        <v>4</v>
      </c>
      <c r="F205" s="30" t="str">
        <f t="shared" si="77"/>
        <v>42</v>
      </c>
      <c r="G205" s="26" t="str">
        <f t="shared" si="63"/>
        <v>422</v>
      </c>
      <c r="H205" s="212" t="s">
        <v>27</v>
      </c>
      <c r="I205" s="86" t="s">
        <v>29</v>
      </c>
      <c r="J205" s="87" t="e">
        <f>SUMIFS([2]Anl_20250630!$K$6:$K$173,[2]Anl_20250630!$A$6:$A$173,A205)</f>
        <v>#VALUE!</v>
      </c>
      <c r="K205" s="87">
        <f>_xlfn.IFNA(VLOOKUP(T205,[3]Rashodi_2026_RI!$A$18:$Z$10000,14,FALSE),0)</f>
        <v>0</v>
      </c>
      <c r="L205" s="87">
        <f>_xlfn.IFNA(VLOOKUP(T205,[3]Rashodi_2026_RI!$A$18:$Z$10000,15,FALSE),0)</f>
        <v>0</v>
      </c>
      <c r="M205" s="87" t="e">
        <f t="shared" si="59"/>
        <v>#VALUE!</v>
      </c>
      <c r="N205" s="87">
        <f t="shared" si="60"/>
        <v>0</v>
      </c>
      <c r="O205" s="31">
        <v>343.75</v>
      </c>
      <c r="T205" s="25" t="str">
        <f t="shared" si="66"/>
        <v>A2124025414221</v>
      </c>
    </row>
    <row r="206" spans="1:20" ht="24.95" customHeight="1" collapsed="1" x14ac:dyDescent="0.2">
      <c r="B206" s="30"/>
      <c r="H206" s="230" t="s">
        <v>592</v>
      </c>
      <c r="I206" s="230"/>
      <c r="J206" s="79" t="e">
        <f>SUMIFS(J207:J396,$C207:$C396,"A212402",$D207:$D396,"561")</f>
        <v>#VALUE!</v>
      </c>
      <c r="K206" s="79">
        <f t="shared" ref="K206:L206" si="79">SUMIFS(K207:K396,$C207:$C396,"A212402",$D207:$D396,"561")</f>
        <v>0</v>
      </c>
      <c r="L206" s="79">
        <f t="shared" si="79"/>
        <v>5198.3499999999995</v>
      </c>
      <c r="M206" s="79" t="e">
        <f t="shared" si="59"/>
        <v>#VALUE!</v>
      </c>
      <c r="N206" s="79">
        <f t="shared" si="60"/>
        <v>0</v>
      </c>
      <c r="O206" s="25">
        <f>SUMIFS(O208:O396,$C208:$C396,"A212402",$D208:$D396,"541")</f>
        <v>0</v>
      </c>
      <c r="P206" s="25">
        <f>SUMIFS(P208:P396,$C208:$C396,"A212402",$D208:$D396,"541")</f>
        <v>0</v>
      </c>
    </row>
    <row r="207" spans="1:20" ht="20.100000000000001" hidden="1" customHeight="1" outlineLevel="1" x14ac:dyDescent="0.2">
      <c r="A207" s="25" t="str">
        <f t="shared" si="70"/>
        <v>A2124025613111</v>
      </c>
      <c r="B207" s="30" t="s">
        <v>472</v>
      </c>
      <c r="C207" s="26" t="s">
        <v>328</v>
      </c>
      <c r="D207" s="30">
        <v>561</v>
      </c>
      <c r="E207" s="30" t="str">
        <f t="shared" ref="E207:E215" si="80">LEFT(H207,1)</f>
        <v>3</v>
      </c>
      <c r="F207" s="30" t="str">
        <f t="shared" ref="F207:F215" si="81">LEFT(H207,2)</f>
        <v>31</v>
      </c>
      <c r="G207" s="26" t="str">
        <f t="shared" ref="G207:G215" si="82">LEFT(H207,3)</f>
        <v>311</v>
      </c>
      <c r="H207" s="212" t="s">
        <v>57</v>
      </c>
      <c r="I207" s="86" t="s">
        <v>59</v>
      </c>
      <c r="J207" s="87" t="e">
        <f>SUMIFS([2]Anl_20250630!$K$6:$K$173,[2]Anl_20250630!$A$6:$A$173,A207)</f>
        <v>#VALUE!</v>
      </c>
      <c r="K207" s="87">
        <f>_xlfn.IFNA(VLOOKUP(T207,[3]Rashodi_2026_RI!$A$18:$Z$10000,14,FALSE),0)</f>
        <v>0</v>
      </c>
      <c r="L207" s="87">
        <f>_xlfn.IFNA(VLOOKUP(T207,[3]Rashodi_2026_RI!$A$18:$Z$10000,15,FALSE),0)</f>
        <v>0</v>
      </c>
      <c r="M207" s="87" t="e">
        <f t="shared" si="59"/>
        <v>#VALUE!</v>
      </c>
      <c r="N207" s="87">
        <f t="shared" si="60"/>
        <v>0</v>
      </c>
      <c r="O207" s="31"/>
      <c r="T207" s="25" t="str">
        <f t="shared" si="66"/>
        <v>A2124025613111</v>
      </c>
    </row>
    <row r="208" spans="1:20" ht="20.100000000000001" hidden="1" customHeight="1" outlineLevel="1" x14ac:dyDescent="0.2">
      <c r="A208" s="25" t="str">
        <f t="shared" si="70"/>
        <v>A2124025613211</v>
      </c>
      <c r="B208" s="30" t="s">
        <v>472</v>
      </c>
      <c r="C208" s="26" t="s">
        <v>328</v>
      </c>
      <c r="D208" s="30">
        <v>561</v>
      </c>
      <c r="E208" s="30" t="str">
        <f t="shared" si="80"/>
        <v>3</v>
      </c>
      <c r="F208" s="30" t="str">
        <f t="shared" si="81"/>
        <v>32</v>
      </c>
      <c r="G208" s="26" t="str">
        <f t="shared" si="82"/>
        <v>321</v>
      </c>
      <c r="H208" s="212" t="s">
        <v>130</v>
      </c>
      <c r="I208" s="86" t="s">
        <v>132</v>
      </c>
      <c r="J208" s="87" t="e">
        <f>SUMIFS([2]Anl_20250630!$K$6:$K$173,[2]Anl_20250630!$A$6:$A$173,A208)</f>
        <v>#VALUE!</v>
      </c>
      <c r="K208" s="87">
        <f>_xlfn.IFNA(VLOOKUP(T208,[3]Rashodi_2026_RI!$A$18:$Z$10000,14,FALSE),0)</f>
        <v>0</v>
      </c>
      <c r="L208" s="87">
        <f>_xlfn.IFNA(VLOOKUP(T208,[3]Rashodi_2026_RI!$A$18:$Z$10000,15,FALSE),0)</f>
        <v>4273.8999999999996</v>
      </c>
      <c r="M208" s="87" t="e">
        <f t="shared" si="59"/>
        <v>#VALUE!</v>
      </c>
      <c r="N208" s="87">
        <f t="shared" si="60"/>
        <v>0</v>
      </c>
      <c r="O208" s="31">
        <v>10.5</v>
      </c>
      <c r="T208" s="25" t="str">
        <f t="shared" si="66"/>
        <v>A2124025613211</v>
      </c>
    </row>
    <row r="209" spans="1:20" ht="20.100000000000001" hidden="1" customHeight="1" outlineLevel="1" x14ac:dyDescent="0.2">
      <c r="A209" s="25" t="str">
        <f t="shared" si="70"/>
        <v>A2124025613213</v>
      </c>
      <c r="B209" s="30" t="s">
        <v>472</v>
      </c>
      <c r="C209" s="26" t="s">
        <v>328</v>
      </c>
      <c r="D209" s="30">
        <v>561</v>
      </c>
      <c r="E209" s="30" t="str">
        <f t="shared" si="80"/>
        <v>3</v>
      </c>
      <c r="F209" s="30" t="str">
        <f t="shared" si="81"/>
        <v>32</v>
      </c>
      <c r="G209" s="26" t="str">
        <f t="shared" si="82"/>
        <v>321</v>
      </c>
      <c r="H209" s="212" t="s">
        <v>69</v>
      </c>
      <c r="I209" s="86" t="s">
        <v>93</v>
      </c>
      <c r="J209" s="87" t="e">
        <f>SUMIFS([2]Anl_20250630!$K$6:$K$173,[2]Anl_20250630!$A$6:$A$173,A209)</f>
        <v>#VALUE!</v>
      </c>
      <c r="K209" s="87">
        <f>_xlfn.IFNA(VLOOKUP(T209,[3]Rashodi_2026_RI!$A$18:$Z$10000,14,FALSE),0)</f>
        <v>0</v>
      </c>
      <c r="L209" s="87">
        <f>_xlfn.IFNA(VLOOKUP(T209,[3]Rashodi_2026_RI!$A$18:$Z$10000,15,FALSE),0)</f>
        <v>0</v>
      </c>
      <c r="M209" s="87" t="e">
        <f t="shared" si="59"/>
        <v>#VALUE!</v>
      </c>
      <c r="N209" s="87">
        <f t="shared" si="60"/>
        <v>0</v>
      </c>
      <c r="O209" s="31"/>
      <c r="P209" s="25">
        <v>1023.75</v>
      </c>
      <c r="T209" s="25" t="str">
        <f t="shared" si="66"/>
        <v>A2124025613213</v>
      </c>
    </row>
    <row r="210" spans="1:20" ht="20.100000000000001" hidden="1" customHeight="1" outlineLevel="1" x14ac:dyDescent="0.2">
      <c r="A210" s="25" t="str">
        <f t="shared" si="70"/>
        <v>A2124025613233</v>
      </c>
      <c r="B210" s="30" t="s">
        <v>472</v>
      </c>
      <c r="C210" s="26" t="s">
        <v>328</v>
      </c>
      <c r="D210" s="30">
        <v>561</v>
      </c>
      <c r="E210" s="30" t="str">
        <f t="shared" si="80"/>
        <v>3</v>
      </c>
      <c r="F210" s="30" t="str">
        <f t="shared" si="81"/>
        <v>32</v>
      </c>
      <c r="G210" s="26" t="str">
        <f t="shared" si="82"/>
        <v>323</v>
      </c>
      <c r="H210" s="86" t="s">
        <v>91</v>
      </c>
      <c r="I210" s="86" t="s">
        <v>93</v>
      </c>
      <c r="J210" s="87" t="e">
        <f>SUMIFS([2]Anl_20250630!$K$6:$K$173,[2]Anl_20250630!$A$6:$A$173,A210)</f>
        <v>#VALUE!</v>
      </c>
      <c r="K210" s="87">
        <f>_xlfn.IFNA(VLOOKUP(T210,[3]Rashodi_2026_RI!$A$18:$Z$10000,14,FALSE),0)</f>
        <v>0</v>
      </c>
      <c r="L210" s="87">
        <f>_xlfn.IFNA(VLOOKUP(T210,[3]Rashodi_2026_RI!$A$18:$Z$10000,15,FALSE),0)</f>
        <v>0</v>
      </c>
      <c r="M210" s="87" t="e">
        <f t="shared" si="59"/>
        <v>#VALUE!</v>
      </c>
      <c r="N210" s="87">
        <f t="shared" si="60"/>
        <v>0</v>
      </c>
      <c r="O210" s="31"/>
      <c r="P210" s="25">
        <v>1023.75</v>
      </c>
      <c r="T210" s="25" t="str">
        <f t="shared" si="66"/>
        <v>A2124025613233</v>
      </c>
    </row>
    <row r="211" spans="1:20" ht="20.100000000000001" hidden="1" customHeight="1" outlineLevel="1" x14ac:dyDescent="0.2">
      <c r="A211" s="25" t="str">
        <f t="shared" si="70"/>
        <v>A2124025613237</v>
      </c>
      <c r="B211" s="30" t="s">
        <v>472</v>
      </c>
      <c r="C211" s="26" t="s">
        <v>328</v>
      </c>
      <c r="D211" s="30">
        <v>561</v>
      </c>
      <c r="E211" s="30" t="str">
        <f t="shared" si="80"/>
        <v>3</v>
      </c>
      <c r="F211" s="30" t="str">
        <f t="shared" si="81"/>
        <v>32</v>
      </c>
      <c r="G211" s="26" t="str">
        <f t="shared" si="82"/>
        <v>323</v>
      </c>
      <c r="H211" s="86" t="s">
        <v>41</v>
      </c>
      <c r="I211" s="86" t="s">
        <v>43</v>
      </c>
      <c r="J211" s="87" t="e">
        <f>SUMIFS([2]Anl_20250630!$K$6:$K$173,[2]Anl_20250630!$A$6:$A$173,A211)</f>
        <v>#VALUE!</v>
      </c>
      <c r="K211" s="87">
        <f>_xlfn.IFNA(VLOOKUP(T211,[3]Rashodi_2026_RI!$A$18:$Z$10000,14,FALSE),0)</f>
        <v>0</v>
      </c>
      <c r="L211" s="87">
        <f>_xlfn.IFNA(VLOOKUP(T211,[3]Rashodi_2026_RI!$A$18:$Z$10000,15,FALSE),0)</f>
        <v>0</v>
      </c>
      <c r="M211" s="87" t="e">
        <f t="shared" si="59"/>
        <v>#VALUE!</v>
      </c>
      <c r="N211" s="87">
        <f t="shared" si="60"/>
        <v>0</v>
      </c>
      <c r="O211" s="31">
        <v>730.64</v>
      </c>
      <c r="T211" s="25" t="str">
        <f t="shared" si="66"/>
        <v>A2124025613237</v>
      </c>
    </row>
    <row r="212" spans="1:20" ht="20.100000000000001" hidden="1" customHeight="1" outlineLevel="1" x14ac:dyDescent="0.2">
      <c r="A212" s="25" t="str">
        <f t="shared" si="70"/>
        <v>A2124025613239</v>
      </c>
      <c r="B212" s="30" t="s">
        <v>472</v>
      </c>
      <c r="C212" s="26" t="s">
        <v>328</v>
      </c>
      <c r="D212" s="30">
        <v>561</v>
      </c>
      <c r="E212" s="30" t="str">
        <f t="shared" si="80"/>
        <v>3</v>
      </c>
      <c r="F212" s="30" t="str">
        <f t="shared" si="81"/>
        <v>32</v>
      </c>
      <c r="G212" s="26" t="str">
        <f t="shared" si="82"/>
        <v>323</v>
      </c>
      <c r="H212" s="86" t="s">
        <v>126</v>
      </c>
      <c r="I212" s="86" t="s">
        <v>128</v>
      </c>
      <c r="J212" s="87" t="e">
        <f>SUMIFS([2]Anl_20250630!$K$6:$K$173,[2]Anl_20250630!$A$6:$A$173,A212)</f>
        <v>#VALUE!</v>
      </c>
      <c r="K212" s="87">
        <f>_xlfn.IFNA(VLOOKUP(T212,[3]Rashodi_2026_RI!$A$18:$Z$10000,14,FALSE),0)</f>
        <v>0</v>
      </c>
      <c r="L212" s="87">
        <f>_xlfn.IFNA(VLOOKUP(T212,[3]Rashodi_2026_RI!$A$18:$Z$10000,15,FALSE),0)</f>
        <v>0</v>
      </c>
      <c r="M212" s="87" t="e">
        <f t="shared" si="59"/>
        <v>#VALUE!</v>
      </c>
      <c r="N212" s="87">
        <f t="shared" si="60"/>
        <v>0</v>
      </c>
      <c r="O212" s="31">
        <v>343.75</v>
      </c>
      <c r="T212" s="25" t="str">
        <f t="shared" si="66"/>
        <v>A2124025613239</v>
      </c>
    </row>
    <row r="213" spans="1:20" ht="20.100000000000001" hidden="1" customHeight="1" outlineLevel="1" x14ac:dyDescent="0.2">
      <c r="A213" s="25" t="str">
        <f t="shared" si="70"/>
        <v>A2124025613241</v>
      </c>
      <c r="B213" s="30" t="s">
        <v>472</v>
      </c>
      <c r="C213" s="26" t="s">
        <v>328</v>
      </c>
      <c r="D213" s="30">
        <v>561</v>
      </c>
      <c r="E213" s="30" t="str">
        <f t="shared" si="80"/>
        <v>3</v>
      </c>
      <c r="F213" s="30" t="str">
        <f t="shared" si="81"/>
        <v>32</v>
      </c>
      <c r="G213" s="26" t="str">
        <f t="shared" si="82"/>
        <v>324</v>
      </c>
      <c r="H213" s="212" t="s">
        <v>150</v>
      </c>
      <c r="I213" s="86" t="s">
        <v>152</v>
      </c>
      <c r="J213" s="87" t="e">
        <f>SUMIFS([2]Anl_20250630!$K$6:$K$173,[2]Anl_20250630!$A$6:$A$173,A213)</f>
        <v>#VALUE!</v>
      </c>
      <c r="K213" s="87">
        <f>_xlfn.IFNA(VLOOKUP(T213,[3]Rashodi_2026_RI!$A$18:$Z$10000,14,FALSE),0)</f>
        <v>0</v>
      </c>
      <c r="L213" s="87">
        <f>_xlfn.IFNA(VLOOKUP(T213,[3]Rashodi_2026_RI!$A$18:$Z$10000,15,FALSE),0)</f>
        <v>747.75</v>
      </c>
      <c r="M213" s="87" t="e">
        <f t="shared" si="59"/>
        <v>#VALUE!</v>
      </c>
      <c r="N213" s="87">
        <f t="shared" si="60"/>
        <v>0</v>
      </c>
      <c r="O213" s="31">
        <v>343.75</v>
      </c>
      <c r="T213" s="25" t="str">
        <f t="shared" si="66"/>
        <v>A2124025613241</v>
      </c>
    </row>
    <row r="214" spans="1:20" ht="20.100000000000001" hidden="1" customHeight="1" outlineLevel="1" x14ac:dyDescent="0.2">
      <c r="A214" s="25" t="str">
        <f t="shared" si="70"/>
        <v>A2124025613293</v>
      </c>
      <c r="B214" s="30" t="s">
        <v>472</v>
      </c>
      <c r="C214" s="26" t="s">
        <v>328</v>
      </c>
      <c r="D214" s="30">
        <v>561</v>
      </c>
      <c r="E214" s="30" t="str">
        <f t="shared" si="80"/>
        <v>3</v>
      </c>
      <c r="F214" s="30" t="str">
        <f t="shared" si="81"/>
        <v>32</v>
      </c>
      <c r="G214" s="26" t="str">
        <f t="shared" si="82"/>
        <v>329</v>
      </c>
      <c r="H214" s="86" t="s">
        <v>154</v>
      </c>
      <c r="I214" s="86" t="s">
        <v>156</v>
      </c>
      <c r="J214" s="87" t="e">
        <f>SUMIFS([2]Anl_20250630!$K$6:$K$173,[2]Anl_20250630!$A$6:$A$173,A214)</f>
        <v>#VALUE!</v>
      </c>
      <c r="K214" s="87">
        <f>_xlfn.IFNA(VLOOKUP(T214,[3]Rashodi_2026_RI!$A$18:$Z$10000,14,FALSE),0)</f>
        <v>0</v>
      </c>
      <c r="L214" s="87">
        <f>_xlfn.IFNA(VLOOKUP(T214,[3]Rashodi_2026_RI!$A$18:$Z$10000,15,FALSE),0)</f>
        <v>176.7</v>
      </c>
      <c r="M214" s="87" t="e">
        <f t="shared" si="59"/>
        <v>#VALUE!</v>
      </c>
      <c r="N214" s="87">
        <f t="shared" si="60"/>
        <v>0</v>
      </c>
      <c r="O214" s="31">
        <v>343.75</v>
      </c>
      <c r="T214" s="25" t="str">
        <f t="shared" si="66"/>
        <v>A2124025613293</v>
      </c>
    </row>
    <row r="215" spans="1:20" ht="20.100000000000001" hidden="1" customHeight="1" outlineLevel="1" x14ac:dyDescent="0.2">
      <c r="A215" s="25" t="str">
        <f t="shared" si="70"/>
        <v>A2124025614221</v>
      </c>
      <c r="B215" s="30" t="s">
        <v>472</v>
      </c>
      <c r="C215" s="26" t="s">
        <v>328</v>
      </c>
      <c r="D215" s="30">
        <v>561</v>
      </c>
      <c r="E215" s="30" t="str">
        <f t="shared" si="80"/>
        <v>4</v>
      </c>
      <c r="F215" s="30" t="str">
        <f t="shared" si="81"/>
        <v>42</v>
      </c>
      <c r="G215" s="26" t="str">
        <f t="shared" si="82"/>
        <v>422</v>
      </c>
      <c r="H215" s="212" t="s">
        <v>27</v>
      </c>
      <c r="I215" s="86" t="s">
        <v>29</v>
      </c>
      <c r="J215" s="87" t="e">
        <f>SUMIFS([2]Anl_20250630!$K$6:$K$173,[2]Anl_20250630!$A$6:$A$173,A215)</f>
        <v>#VALUE!</v>
      </c>
      <c r="K215" s="87">
        <f>_xlfn.IFNA(VLOOKUP(T215,[3]Rashodi_2026_RI!$A$18:$Z$10000,14,FALSE),0)</f>
        <v>0</v>
      </c>
      <c r="L215" s="87">
        <f>_xlfn.IFNA(VLOOKUP(T215,[3]Rashodi_2026_RI!$A$18:$Z$10000,15,FALSE),0)</f>
        <v>0</v>
      </c>
      <c r="M215" s="87" t="e">
        <f t="shared" si="59"/>
        <v>#VALUE!</v>
      </c>
      <c r="N215" s="87">
        <f t="shared" si="60"/>
        <v>0</v>
      </c>
      <c r="O215" s="31">
        <v>343.75</v>
      </c>
      <c r="T215" s="25" t="str">
        <f t="shared" si="66"/>
        <v>A2124025614221</v>
      </c>
    </row>
    <row r="216" spans="1:20" ht="24.95" customHeight="1" collapsed="1" thickBot="1" x14ac:dyDescent="0.25">
      <c r="B216" s="30"/>
      <c r="H216" s="230" t="s">
        <v>587</v>
      </c>
      <c r="I216" s="230"/>
      <c r="J216" s="79" t="e">
        <f t="shared" ref="J216:K216" si="83">SUMIFS(J217:J405,$C217:$C405,"A212402",$D217:$D405,"562")</f>
        <v>#VALUE!</v>
      </c>
      <c r="K216" s="79">
        <f t="shared" si="83"/>
        <v>0</v>
      </c>
      <c r="L216" s="79">
        <f>SUMIFS(L217:L405,$C217:$C405,"A212402",$D217:$D405,"562")</f>
        <v>2356.86</v>
      </c>
      <c r="M216" s="79" t="e">
        <f t="shared" si="59"/>
        <v>#VALUE!</v>
      </c>
      <c r="N216" s="79">
        <f t="shared" si="60"/>
        <v>0</v>
      </c>
      <c r="O216" s="25">
        <f>SUMIFS(O219:O405,$C219:$C405,"A212402",$D219:$D405,"541")</f>
        <v>0</v>
      </c>
      <c r="P216" s="25">
        <f>SUMIFS(P219:P405,$C219:$C405,"A212402",$D219:$D405,"541")</f>
        <v>0</v>
      </c>
    </row>
    <row r="217" spans="1:20" ht="20.100000000000001" hidden="1" customHeight="1" outlineLevel="1" x14ac:dyDescent="0.2">
      <c r="A217" s="25" t="str">
        <f t="shared" si="70"/>
        <v>A2124025623211</v>
      </c>
      <c r="B217" s="30" t="s">
        <v>472</v>
      </c>
      <c r="C217" s="26" t="s">
        <v>328</v>
      </c>
      <c r="D217" s="30">
        <v>562</v>
      </c>
      <c r="E217" s="30" t="str">
        <f t="shared" ref="E217:E223" si="84">LEFT(H217,1)</f>
        <v>3</v>
      </c>
      <c r="F217" s="30" t="str">
        <f t="shared" ref="F217:F223" si="85">LEFT(H217,2)</f>
        <v>32</v>
      </c>
      <c r="G217" s="26" t="str">
        <f t="shared" ref="G217:G223" si="86">LEFT(H217,3)</f>
        <v>321</v>
      </c>
      <c r="H217" s="212" t="s">
        <v>130</v>
      </c>
      <c r="I217" s="86" t="s">
        <v>132</v>
      </c>
      <c r="J217" s="87" t="e">
        <f>SUMIFS([2]Anl_20250630!$K$6:$K$173,[2]Anl_20250630!$A$6:$A$173,A217)</f>
        <v>#VALUE!</v>
      </c>
      <c r="K217" s="87">
        <f>_xlfn.IFNA(VLOOKUP(T217,[3]Rashodi_2026_RI!$A$18:$Z$10000,14,FALSE),0)</f>
        <v>0</v>
      </c>
      <c r="L217" s="87">
        <f>_xlfn.IFNA(VLOOKUP(T217,[3]Rashodi_2026_RI!$A$18:$Z$10000,15,FALSE),0)</f>
        <v>412.22</v>
      </c>
      <c r="M217" s="87" t="e">
        <f t="shared" si="59"/>
        <v>#VALUE!</v>
      </c>
      <c r="N217" s="87">
        <f t="shared" si="60"/>
        <v>0</v>
      </c>
      <c r="O217" s="31">
        <v>7.98</v>
      </c>
      <c r="T217" s="25" t="str">
        <f t="shared" si="66"/>
        <v>A2124025623211</v>
      </c>
    </row>
    <row r="218" spans="1:20" ht="20.100000000000001" hidden="1" customHeight="1" outlineLevel="1" x14ac:dyDescent="0.2">
      <c r="A218" s="25" t="str">
        <f t="shared" si="70"/>
        <v>A2124025623222</v>
      </c>
      <c r="B218" s="30" t="s">
        <v>472</v>
      </c>
      <c r="C218" s="26" t="s">
        <v>328</v>
      </c>
      <c r="D218" s="30">
        <v>562</v>
      </c>
      <c r="E218" s="30" t="str">
        <f t="shared" si="84"/>
        <v>3</v>
      </c>
      <c r="F218" s="30" t="str">
        <f t="shared" si="85"/>
        <v>32</v>
      </c>
      <c r="G218" s="26" t="str">
        <f t="shared" si="86"/>
        <v>322</v>
      </c>
      <c r="H218" s="86" t="s">
        <v>75</v>
      </c>
      <c r="I218" s="86" t="s">
        <v>77</v>
      </c>
      <c r="J218" s="87" t="e">
        <f>SUMIFS([2]Anl_20250630!$K$6:$K$173,[2]Anl_20250630!$A$6:$A$173,A218)</f>
        <v>#VALUE!</v>
      </c>
      <c r="K218" s="87">
        <f>_xlfn.IFNA(VLOOKUP(T218,[3]Rashodi_2026_RI!$A$18:$Z$10000,14,FALSE),0)</f>
        <v>0</v>
      </c>
      <c r="L218" s="87">
        <f>_xlfn.IFNA(VLOOKUP(T218,[3]Rashodi_2026_RI!$A$18:$Z$10000,15,FALSE),0)</f>
        <v>623.95000000000005</v>
      </c>
      <c r="M218" s="87" t="e">
        <f t="shared" si="59"/>
        <v>#VALUE!</v>
      </c>
      <c r="N218" s="87">
        <f t="shared" si="60"/>
        <v>0</v>
      </c>
      <c r="O218" s="31">
        <v>7.98</v>
      </c>
      <c r="T218" s="25" t="str">
        <f t="shared" si="66"/>
        <v>A2124025623222</v>
      </c>
    </row>
    <row r="219" spans="1:20" ht="20.100000000000001" hidden="1" customHeight="1" outlineLevel="1" x14ac:dyDescent="0.2">
      <c r="A219" s="25" t="str">
        <f t="shared" si="70"/>
        <v>A2124025623233</v>
      </c>
      <c r="B219" s="30" t="s">
        <v>472</v>
      </c>
      <c r="C219" s="26" t="s">
        <v>328</v>
      </c>
      <c r="D219" s="30">
        <v>562</v>
      </c>
      <c r="E219" s="30" t="str">
        <f t="shared" si="84"/>
        <v>3</v>
      </c>
      <c r="F219" s="30" t="str">
        <f t="shared" si="85"/>
        <v>32</v>
      </c>
      <c r="G219" s="26" t="str">
        <f t="shared" si="86"/>
        <v>323</v>
      </c>
      <c r="H219" s="86" t="s">
        <v>91</v>
      </c>
      <c r="I219" s="86" t="s">
        <v>93</v>
      </c>
      <c r="J219" s="87" t="e">
        <f>SUMIFS([2]Anl_20250630!$K$6:$K$173,[2]Anl_20250630!$A$6:$A$173,A219)</f>
        <v>#VALUE!</v>
      </c>
      <c r="K219" s="87">
        <f>_xlfn.IFNA(VLOOKUP(T219,[3]Rashodi_2026_RI!$A$18:$Z$10000,14,FALSE),0)</f>
        <v>0</v>
      </c>
      <c r="L219" s="87">
        <f>_xlfn.IFNA(VLOOKUP(T219,[3]Rashodi_2026_RI!$A$18:$Z$10000,15,FALSE),0)</f>
        <v>52</v>
      </c>
      <c r="M219" s="87" t="e">
        <f t="shared" si="59"/>
        <v>#VALUE!</v>
      </c>
      <c r="N219" s="87">
        <f t="shared" si="60"/>
        <v>0</v>
      </c>
      <c r="O219" s="31"/>
      <c r="P219" s="25">
        <v>1023.75</v>
      </c>
      <c r="T219" s="25" t="str">
        <f t="shared" si="66"/>
        <v>A2124025623233</v>
      </c>
    </row>
    <row r="220" spans="1:20" ht="20.100000000000001" hidden="1" customHeight="1" outlineLevel="1" x14ac:dyDescent="0.2">
      <c r="A220" s="25" t="str">
        <f t="shared" si="70"/>
        <v>A2124025623237</v>
      </c>
      <c r="B220" s="30" t="s">
        <v>472</v>
      </c>
      <c r="C220" s="26" t="s">
        <v>328</v>
      </c>
      <c r="D220" s="30">
        <v>562</v>
      </c>
      <c r="E220" s="30" t="str">
        <f t="shared" si="84"/>
        <v>3</v>
      </c>
      <c r="F220" s="30" t="str">
        <f t="shared" si="85"/>
        <v>32</v>
      </c>
      <c r="G220" s="26" t="str">
        <f t="shared" si="86"/>
        <v>323</v>
      </c>
      <c r="H220" s="86" t="s">
        <v>41</v>
      </c>
      <c r="I220" s="86" t="s">
        <v>43</v>
      </c>
      <c r="J220" s="87" t="e">
        <f>SUMIFS([2]Anl_20250630!$K$6:$K$173,[2]Anl_20250630!$A$6:$A$173,A220)</f>
        <v>#VALUE!</v>
      </c>
      <c r="K220" s="87">
        <f>_xlfn.IFNA(VLOOKUP(T220,[3]Rashodi_2026_RI!$A$18:$Z$10000,14,FALSE),0)</f>
        <v>0</v>
      </c>
      <c r="L220" s="87">
        <f>_xlfn.IFNA(VLOOKUP(T220,[3]Rashodi_2026_RI!$A$18:$Z$10000,15,FALSE),0)</f>
        <v>150</v>
      </c>
      <c r="M220" s="87" t="e">
        <f t="shared" si="59"/>
        <v>#VALUE!</v>
      </c>
      <c r="N220" s="87">
        <f t="shared" si="60"/>
        <v>0</v>
      </c>
      <c r="O220" s="31">
        <v>730.64</v>
      </c>
      <c r="T220" s="25" t="str">
        <f t="shared" si="66"/>
        <v>A2124025623237</v>
      </c>
    </row>
    <row r="221" spans="1:20" ht="20.100000000000001" hidden="1" customHeight="1" outlineLevel="1" x14ac:dyDescent="0.2">
      <c r="A221" s="25" t="str">
        <f t="shared" si="70"/>
        <v>A2124025623239</v>
      </c>
      <c r="B221" s="30" t="s">
        <v>472</v>
      </c>
      <c r="C221" s="26" t="s">
        <v>328</v>
      </c>
      <c r="D221" s="30">
        <v>562</v>
      </c>
      <c r="E221" s="30" t="str">
        <f t="shared" si="84"/>
        <v>3</v>
      </c>
      <c r="F221" s="30" t="str">
        <f t="shared" si="85"/>
        <v>32</v>
      </c>
      <c r="G221" s="26" t="str">
        <f t="shared" si="86"/>
        <v>323</v>
      </c>
      <c r="H221" s="86" t="s">
        <v>126</v>
      </c>
      <c r="I221" s="86" t="s">
        <v>128</v>
      </c>
      <c r="J221" s="87" t="e">
        <f>SUMIFS([2]Anl_20250630!$K$6:$K$173,[2]Anl_20250630!$A$6:$A$173,A221)</f>
        <v>#VALUE!</v>
      </c>
      <c r="K221" s="87">
        <f>_xlfn.IFNA(VLOOKUP(T221,[3]Rashodi_2026_RI!$A$18:$Z$10000,14,FALSE),0)</f>
        <v>0</v>
      </c>
      <c r="L221" s="87">
        <f>_xlfn.IFNA(VLOOKUP(T221,[3]Rashodi_2026_RI!$A$18:$Z$10000,15,FALSE),0)</f>
        <v>498</v>
      </c>
      <c r="M221" s="87" t="e">
        <f t="shared" si="59"/>
        <v>#VALUE!</v>
      </c>
      <c r="N221" s="87">
        <f t="shared" si="60"/>
        <v>0</v>
      </c>
      <c r="O221" s="31">
        <v>343.75</v>
      </c>
      <c r="T221" s="25" t="str">
        <f t="shared" si="66"/>
        <v>A2124025623239</v>
      </c>
    </row>
    <row r="222" spans="1:20" ht="20.100000000000001" hidden="1" customHeight="1" outlineLevel="1" x14ac:dyDescent="0.2">
      <c r="A222" s="25" t="str">
        <f t="shared" si="70"/>
        <v>A2124025623293</v>
      </c>
      <c r="B222" s="30" t="s">
        <v>472</v>
      </c>
      <c r="C222" s="26" t="s">
        <v>328</v>
      </c>
      <c r="D222" s="30">
        <v>562</v>
      </c>
      <c r="E222" s="30" t="str">
        <f t="shared" si="84"/>
        <v>3</v>
      </c>
      <c r="F222" s="30" t="str">
        <f t="shared" si="85"/>
        <v>32</v>
      </c>
      <c r="G222" s="26" t="str">
        <f t="shared" si="86"/>
        <v>329</v>
      </c>
      <c r="H222" s="86" t="s">
        <v>154</v>
      </c>
      <c r="I222" s="86" t="s">
        <v>156</v>
      </c>
      <c r="J222" s="87" t="e">
        <f>SUMIFS([2]Anl_20250630!$K$6:$K$173,[2]Anl_20250630!$A$6:$A$173,A222)</f>
        <v>#VALUE!</v>
      </c>
      <c r="K222" s="87">
        <f>_xlfn.IFNA(VLOOKUP(T222,[3]Rashodi_2026_RI!$A$18:$Z$10000,14,FALSE),0)</f>
        <v>0</v>
      </c>
      <c r="L222" s="87">
        <f>_xlfn.IFNA(VLOOKUP(T222,[3]Rashodi_2026_RI!$A$18:$Z$10000,15,FALSE),0)</f>
        <v>178.84</v>
      </c>
      <c r="M222" s="87" t="e">
        <f t="shared" si="59"/>
        <v>#VALUE!</v>
      </c>
      <c r="N222" s="87">
        <f t="shared" si="60"/>
        <v>0</v>
      </c>
      <c r="O222" s="31">
        <v>343.75</v>
      </c>
      <c r="T222" s="25" t="str">
        <f t="shared" si="66"/>
        <v>A2124025623293</v>
      </c>
    </row>
    <row r="223" spans="1:20" ht="20.100000000000001" hidden="1" customHeight="1" outlineLevel="1" thickBot="1" x14ac:dyDescent="0.25">
      <c r="A223" s="25" t="str">
        <f t="shared" si="70"/>
        <v>A2124025624221</v>
      </c>
      <c r="B223" s="30" t="s">
        <v>472</v>
      </c>
      <c r="C223" s="26" t="s">
        <v>328</v>
      </c>
      <c r="D223" s="30">
        <v>562</v>
      </c>
      <c r="E223" s="30" t="str">
        <f t="shared" si="84"/>
        <v>4</v>
      </c>
      <c r="F223" s="30" t="str">
        <f t="shared" si="85"/>
        <v>42</v>
      </c>
      <c r="G223" s="26" t="str">
        <f t="shared" si="86"/>
        <v>422</v>
      </c>
      <c r="H223" s="86" t="s">
        <v>27</v>
      </c>
      <c r="I223" s="86" t="s">
        <v>29</v>
      </c>
      <c r="J223" s="87" t="e">
        <f>SUMIFS([2]Anl_20250630!$K$6:$K$173,[2]Anl_20250630!$A$6:$A$173,A223)</f>
        <v>#VALUE!</v>
      </c>
      <c r="K223" s="87">
        <f>_xlfn.IFNA(VLOOKUP(T223,[3]Rashodi_2026_RI!$A$18:$Z$10000,14,FALSE),0)</f>
        <v>0</v>
      </c>
      <c r="L223" s="87">
        <f>_xlfn.IFNA(VLOOKUP(T223,[3]Rashodi_2026_RI!$A$18:$Z$10000,15,FALSE),0)</f>
        <v>441.85</v>
      </c>
      <c r="M223" s="87" t="e">
        <f t="shared" si="59"/>
        <v>#VALUE!</v>
      </c>
      <c r="N223" s="87">
        <f t="shared" si="60"/>
        <v>0</v>
      </c>
      <c r="O223" s="31">
        <v>343.75</v>
      </c>
      <c r="T223" s="25" t="str">
        <f t="shared" si="66"/>
        <v>A2124025624221</v>
      </c>
    </row>
    <row r="224" spans="1:20" ht="35.1" customHeight="1" collapsed="1" thickBot="1" x14ac:dyDescent="0.25">
      <c r="B224" s="30"/>
      <c r="H224" s="225" t="s">
        <v>256</v>
      </c>
      <c r="I224" s="225"/>
      <c r="J224" s="82" t="e">
        <f>SUM(J225:J225)</f>
        <v>#VALUE!</v>
      </c>
      <c r="K224" s="82">
        <f>SUM(K225:K225)</f>
        <v>0</v>
      </c>
      <c r="L224" s="82">
        <f t="shared" ref="L224" si="87">SUM(L225:L225)</f>
        <v>0</v>
      </c>
      <c r="M224" s="82" t="e">
        <f t="shared" si="59"/>
        <v>#VALUE!</v>
      </c>
      <c r="N224" s="82">
        <f t="shared" si="60"/>
        <v>0</v>
      </c>
    </row>
    <row r="225" spans="1:20" ht="24.95" customHeight="1" thickBot="1" x14ac:dyDescent="0.25">
      <c r="B225" s="30"/>
      <c r="H225" s="230" t="s">
        <v>56</v>
      </c>
      <c r="I225" s="230"/>
      <c r="J225" s="79" t="e">
        <f>SUMIFS(J226:J393,$C226:$C393,"A212403",$D226:$D393,"112")</f>
        <v>#VALUE!</v>
      </c>
      <c r="K225" s="79">
        <f>SUMIFS(K226:K393,$C226:$C393,"A212403",$D226:$D393,"112")</f>
        <v>0</v>
      </c>
      <c r="L225" s="79">
        <v>0</v>
      </c>
      <c r="M225" s="79" t="e">
        <f t="shared" si="59"/>
        <v>#VALUE!</v>
      </c>
      <c r="N225" s="79">
        <f t="shared" si="60"/>
        <v>0</v>
      </c>
    </row>
    <row r="226" spans="1:20" ht="20.100000000000001" hidden="1" customHeight="1" outlineLevel="1" thickBot="1" x14ac:dyDescent="0.25">
      <c r="A226" s="25" t="str">
        <f t="shared" si="70"/>
        <v>A2124031123211</v>
      </c>
      <c r="B226" s="30" t="s">
        <v>472</v>
      </c>
      <c r="C226" s="26" t="s">
        <v>329</v>
      </c>
      <c r="D226" s="30">
        <v>112</v>
      </c>
      <c r="E226" s="30" t="str">
        <f>LEFT(H226,1)</f>
        <v>3</v>
      </c>
      <c r="F226" s="30" t="str">
        <f>LEFT(H226,2)</f>
        <v>32</v>
      </c>
      <c r="G226" s="26" t="str">
        <f>LEFT(H226,3)</f>
        <v>321</v>
      </c>
      <c r="H226" s="86" t="s">
        <v>130</v>
      </c>
      <c r="I226" s="86" t="s">
        <v>132</v>
      </c>
      <c r="J226" s="87" t="e">
        <f>SUMIFS([2]Anl_20250630!$K$6:$K$173,[2]Anl_20250630!$A$6:$A$173,A226)</f>
        <v>#VALUE!</v>
      </c>
      <c r="K226" s="87">
        <f>_xlfn.IFNA(VLOOKUP(T226,[3]Rashodi_2026_RI!$A$18:$Z$10000,14,FALSE),0)</f>
        <v>0</v>
      </c>
      <c r="L226" s="87">
        <f>_xlfn.IFNA(VLOOKUP(T226,[3]Rashodi_2026_RI!$A$18:$Z$10000,15,FALSE),0)</f>
        <v>0</v>
      </c>
      <c r="M226" s="87" t="e">
        <f t="shared" si="59"/>
        <v>#VALUE!</v>
      </c>
      <c r="N226" s="87">
        <f t="shared" si="60"/>
        <v>0</v>
      </c>
      <c r="O226" s="31"/>
      <c r="T226" s="25" t="str">
        <f t="shared" si="66"/>
        <v>A2124031123211</v>
      </c>
    </row>
    <row r="227" spans="1:20" ht="35.1" customHeight="1" collapsed="1" thickBot="1" x14ac:dyDescent="0.25">
      <c r="B227" s="30"/>
      <c r="H227" s="225" t="s">
        <v>258</v>
      </c>
      <c r="I227" s="225"/>
      <c r="J227" s="82" t="e">
        <f>SUM(J228:J228)</f>
        <v>#VALUE!</v>
      </c>
      <c r="K227" s="82">
        <f>SUM(K228:K228)</f>
        <v>188000</v>
      </c>
      <c r="L227" s="82">
        <f t="shared" ref="L227" si="88">SUM(L228:L228)</f>
        <v>0</v>
      </c>
      <c r="M227" s="82" t="e">
        <f t="shared" si="59"/>
        <v>#VALUE!</v>
      </c>
      <c r="N227" s="82">
        <f t="shared" si="60"/>
        <v>0</v>
      </c>
    </row>
    <row r="228" spans="1:20" ht="24.95" customHeight="1" thickBot="1" x14ac:dyDescent="0.25">
      <c r="B228" s="30"/>
      <c r="H228" s="230" t="s">
        <v>56</v>
      </c>
      <c r="I228" s="230"/>
      <c r="J228" s="79" t="e">
        <f>SUMIFS(J229:J396,$C229:$C396,"A212404",$D229:$D396,"112")</f>
        <v>#VALUE!</v>
      </c>
      <c r="K228" s="79">
        <f>SUMIFS(K229:K396,$C229:$C396,"A212404",$D229:$D396,"112")</f>
        <v>188000</v>
      </c>
      <c r="L228" s="79">
        <f>SUMIFS(L229:L396,$C229:$C396,"A212404",$D229:$D396,"112")</f>
        <v>0</v>
      </c>
      <c r="M228" s="79" t="e">
        <f t="shared" si="59"/>
        <v>#VALUE!</v>
      </c>
      <c r="N228" s="79">
        <f t="shared" si="60"/>
        <v>0</v>
      </c>
    </row>
    <row r="229" spans="1:20" ht="20.100000000000001" hidden="1" customHeight="1" outlineLevel="1" x14ac:dyDescent="0.2">
      <c r="A229" s="25" t="str">
        <f t="shared" si="70"/>
        <v>A2124041123235</v>
      </c>
      <c r="B229" s="30" t="s">
        <v>472</v>
      </c>
      <c r="C229" s="26" t="s">
        <v>330</v>
      </c>
      <c r="D229" s="30">
        <v>112</v>
      </c>
      <c r="E229" s="30" t="str">
        <f>LEFT(H229,1)</f>
        <v>3</v>
      </c>
      <c r="F229" s="30" t="str">
        <f>LEFT(H229,2)</f>
        <v>32</v>
      </c>
      <c r="G229" s="26" t="str">
        <f>LEFT(H229,3)</f>
        <v>323</v>
      </c>
      <c r="H229" s="86" t="s">
        <v>97</v>
      </c>
      <c r="I229" s="86" t="s">
        <v>99</v>
      </c>
      <c r="J229" s="87" t="e">
        <f>SUMIFS([2]Anl_20250630!$K$6:$K$173,[2]Anl_20250630!$A$6:$A$173,A229)</f>
        <v>#VALUE!</v>
      </c>
      <c r="K229" s="87">
        <f>_xlfn.IFNA(VLOOKUP(T229,[3]Rashodi_2026_RI!$A$18:$Z$10000,14,FALSE),0)</f>
        <v>0</v>
      </c>
      <c r="L229" s="87">
        <f>_xlfn.IFNA(VLOOKUP(T229,[3]Rashodi_2026_RI!$A$18:$Z$10000,15,FALSE),0)</f>
        <v>0</v>
      </c>
      <c r="M229" s="87" t="e">
        <f t="shared" si="59"/>
        <v>#VALUE!</v>
      </c>
      <c r="N229" s="87">
        <f t="shared" si="60"/>
        <v>0</v>
      </c>
      <c r="O229" s="31"/>
      <c r="T229" s="25" t="str">
        <f t="shared" ref="T229:T266" si="89">CONCATENATE(C229,D229,H229)</f>
        <v>A2124041123235</v>
      </c>
    </row>
    <row r="230" spans="1:20" ht="20.100000000000001" hidden="1" customHeight="1" outlineLevel="1" thickBot="1" x14ac:dyDescent="0.25">
      <c r="A230" s="25" t="str">
        <f t="shared" si="70"/>
        <v>A2124041123722</v>
      </c>
      <c r="B230" s="30" t="s">
        <v>472</v>
      </c>
      <c r="C230" s="26" t="s">
        <v>330</v>
      </c>
      <c r="D230" s="30">
        <v>112</v>
      </c>
      <c r="E230" s="30" t="str">
        <f>LEFT(H230,1)</f>
        <v>3</v>
      </c>
      <c r="F230" s="30" t="str">
        <f>LEFT(H230,2)</f>
        <v>37</v>
      </c>
      <c r="G230" s="26" t="str">
        <f>LEFT(H230,3)</f>
        <v>372</v>
      </c>
      <c r="H230" s="86" t="s">
        <v>260</v>
      </c>
      <c r="I230" s="86" t="s">
        <v>262</v>
      </c>
      <c r="J230" s="87" t="e">
        <f>SUMIFS([2]Anl_20250630!$K$6:$K$173,[2]Anl_20250630!$A$6:$A$173,A230)</f>
        <v>#VALUE!</v>
      </c>
      <c r="K230" s="87">
        <f>_xlfn.IFNA(VLOOKUP(T230,[3]Rashodi_2026_RI!$A$18:$Z$10000,14,FALSE),0)</f>
        <v>188000</v>
      </c>
      <c r="L230" s="87">
        <f>_xlfn.IFNA(VLOOKUP(T230,[3]Rashodi_2026_RI!$A$18:$Z$10000,15,FALSE),0)</f>
        <v>0</v>
      </c>
      <c r="M230" s="87" t="e">
        <f t="shared" si="59"/>
        <v>#VALUE!</v>
      </c>
      <c r="N230" s="87">
        <f t="shared" si="60"/>
        <v>0</v>
      </c>
      <c r="O230" s="31"/>
      <c r="T230" s="25" t="str">
        <f t="shared" si="89"/>
        <v>A2124041123722</v>
      </c>
    </row>
    <row r="231" spans="1:20" ht="35.1" customHeight="1" collapsed="1" thickBot="1" x14ac:dyDescent="0.25">
      <c r="B231" s="30"/>
      <c r="H231" s="225" t="s">
        <v>263</v>
      </c>
      <c r="I231" s="225"/>
      <c r="J231" s="82" t="e">
        <f>J232+J241+J250+J254+J258+J262+J265</f>
        <v>#VALUE!</v>
      </c>
      <c r="K231" s="82">
        <f>K232+K241+K250+K254+K258+K262+K265</f>
        <v>3217100</v>
      </c>
      <c r="L231" s="82">
        <f>L232+L241+L250+L254+L258+L262+L265</f>
        <v>1299905.6200000001</v>
      </c>
      <c r="M231" s="82" t="e">
        <f t="shared" si="59"/>
        <v>#VALUE!</v>
      </c>
      <c r="N231" s="82">
        <f t="shared" si="60"/>
        <v>40.40613036585745</v>
      </c>
    </row>
    <row r="232" spans="1:20" ht="24.95" customHeight="1" x14ac:dyDescent="0.2">
      <c r="B232" s="30"/>
      <c r="H232" s="230" t="s">
        <v>56</v>
      </c>
      <c r="I232" s="230"/>
      <c r="J232" s="79" t="e">
        <f>SUMIFS(J233:J400,$C233:$C400,"K212401",$D233:$D400,"112")</f>
        <v>#VALUE!</v>
      </c>
      <c r="K232" s="79">
        <f>SUMIFS(K233:K400,$C233:$C400,"K212401",$D233:$D400,"112")</f>
        <v>2207800</v>
      </c>
      <c r="L232" s="79">
        <f>SUMIFS(L233:L400,$C233:$C400,"K212401",$D233:$D400,"112")</f>
        <v>1146161.8500000001</v>
      </c>
      <c r="M232" s="79" t="e">
        <f t="shared" si="59"/>
        <v>#VALUE!</v>
      </c>
      <c r="N232" s="79">
        <f t="shared" si="60"/>
        <v>51.914206449859591</v>
      </c>
    </row>
    <row r="233" spans="1:20" ht="20.100000000000001" hidden="1" customHeight="1" outlineLevel="1" x14ac:dyDescent="0.2">
      <c r="A233" s="25" t="str">
        <f t="shared" si="70"/>
        <v>K2124011123222</v>
      </c>
      <c r="B233" s="30" t="s">
        <v>472</v>
      </c>
      <c r="C233" s="26" t="s">
        <v>331</v>
      </c>
      <c r="D233" s="30">
        <v>112</v>
      </c>
      <c r="E233" s="30" t="str">
        <f t="shared" ref="E233:E240" si="90">LEFT(H233,1)</f>
        <v>3</v>
      </c>
      <c r="F233" s="30" t="str">
        <f t="shared" ref="F233:F240" si="91">LEFT(H233,2)</f>
        <v>32</v>
      </c>
      <c r="G233" s="26" t="str">
        <f t="shared" ref="G233:G240" si="92">LEFT(H233,3)</f>
        <v>322</v>
      </c>
      <c r="H233" s="86" t="s">
        <v>75</v>
      </c>
      <c r="I233" s="86" t="s">
        <v>77</v>
      </c>
      <c r="J233" s="87" t="e">
        <f>SUMIFS([2]Anl_20250630!$K$6:$K$173,[2]Anl_20250630!$A$6:$A$173,A233)</f>
        <v>#VALUE!</v>
      </c>
      <c r="K233" s="87">
        <f>_xlfn.IFNA(VLOOKUP(T233,[3]Rashodi_2026_RI!$A$18:$Z$10000,14,FALSE),0)</f>
        <v>0</v>
      </c>
      <c r="L233" s="87">
        <f>_xlfn.IFNA(VLOOKUP(T233,[3]Rashodi_2026_RI!$A$18:$Z$10000,15,FALSE),0)</f>
        <v>0</v>
      </c>
      <c r="M233" s="87" t="e">
        <f t="shared" si="59"/>
        <v>#VALUE!</v>
      </c>
      <c r="N233" s="87">
        <f t="shared" si="60"/>
        <v>0</v>
      </c>
      <c r="O233" s="31"/>
      <c r="T233" s="25" t="str">
        <f t="shared" si="89"/>
        <v>K2124011123222</v>
      </c>
    </row>
    <row r="234" spans="1:20" ht="20.100000000000001" hidden="1" customHeight="1" outlineLevel="1" x14ac:dyDescent="0.2">
      <c r="A234" s="25" t="str">
        <f t="shared" si="70"/>
        <v>K2124011123232</v>
      </c>
      <c r="B234" s="30" t="s">
        <v>472</v>
      </c>
      <c r="C234" s="26" t="s">
        <v>331</v>
      </c>
      <c r="D234" s="30">
        <v>112</v>
      </c>
      <c r="E234" s="30" t="str">
        <f t="shared" si="90"/>
        <v>3</v>
      </c>
      <c r="F234" s="30" t="str">
        <f t="shared" si="91"/>
        <v>32</v>
      </c>
      <c r="G234" s="26" t="str">
        <f t="shared" si="92"/>
        <v>323</v>
      </c>
      <c r="H234" s="86" t="s">
        <v>38</v>
      </c>
      <c r="I234" s="86" t="s">
        <v>40</v>
      </c>
      <c r="J234" s="87" t="e">
        <f>SUMIFS([2]Anl_20250630!$K$6:$K$173,[2]Anl_20250630!$A$6:$A$173,A234)</f>
        <v>#VALUE!</v>
      </c>
      <c r="K234" s="87">
        <f>_xlfn.IFNA(VLOOKUP(T234,[3]Rashodi_2026_RI!$A$18:$Z$10000,14,FALSE),0)</f>
        <v>0</v>
      </c>
      <c r="L234" s="87">
        <f>_xlfn.IFNA(VLOOKUP(T234,[3]Rashodi_2026_RI!$A$18:$Z$10000,15,FALSE),0)</f>
        <v>0</v>
      </c>
      <c r="M234" s="87" t="e">
        <f t="shared" si="59"/>
        <v>#VALUE!</v>
      </c>
      <c r="N234" s="87">
        <f t="shared" si="60"/>
        <v>0</v>
      </c>
      <c r="O234" s="31"/>
      <c r="T234" s="25" t="str">
        <f t="shared" si="89"/>
        <v>K2124011123232</v>
      </c>
    </row>
    <row r="235" spans="1:20" ht="20.100000000000001" hidden="1" customHeight="1" outlineLevel="1" x14ac:dyDescent="0.2">
      <c r="A235" s="25" t="str">
        <f t="shared" si="70"/>
        <v>K2124011124221</v>
      </c>
      <c r="B235" s="30" t="s">
        <v>472</v>
      </c>
      <c r="C235" s="26" t="s">
        <v>331</v>
      </c>
      <c r="D235" s="30">
        <v>112</v>
      </c>
      <c r="E235" s="30" t="str">
        <f t="shared" si="90"/>
        <v>4</v>
      </c>
      <c r="F235" s="30" t="str">
        <f t="shared" si="91"/>
        <v>42</v>
      </c>
      <c r="G235" s="26" t="str">
        <f t="shared" si="92"/>
        <v>422</v>
      </c>
      <c r="H235" s="86" t="s">
        <v>27</v>
      </c>
      <c r="I235" s="86" t="s">
        <v>29</v>
      </c>
      <c r="J235" s="87" t="e">
        <f>SUMIFS([2]Anl_20250630!$K$6:$K$173,[2]Anl_20250630!$A$6:$A$173,A235)</f>
        <v>#VALUE!</v>
      </c>
      <c r="K235" s="87">
        <f>_xlfn.IFNA(VLOOKUP(T235,[3]Rashodi_2026_RI!$A$18:$Z$10000,14,FALSE),0)</f>
        <v>69100</v>
      </c>
      <c r="L235" s="87">
        <f>_xlfn.IFNA(VLOOKUP(T235,[3]Rashodi_2026_RI!$A$18:$Z$10000,15,FALSE),0)</f>
        <v>0</v>
      </c>
      <c r="M235" s="87" t="e">
        <f t="shared" ref="M235:M266" si="93">IF(J235&lt;&gt;0,L235/J235*100,0)</f>
        <v>#VALUE!</v>
      </c>
      <c r="N235" s="87">
        <f t="shared" ref="N235:N266" si="94">IF(K235&lt;&gt;0,L235/K235*100,0)</f>
        <v>0</v>
      </c>
      <c r="O235" s="31"/>
      <c r="T235" s="25" t="str">
        <f t="shared" si="89"/>
        <v>K2124011124221</v>
      </c>
    </row>
    <row r="236" spans="1:20" ht="20.100000000000001" hidden="1" customHeight="1" outlineLevel="1" x14ac:dyDescent="0.2">
      <c r="A236" s="25" t="str">
        <f t="shared" si="70"/>
        <v>K2124011124223</v>
      </c>
      <c r="B236" s="30" t="s">
        <v>472</v>
      </c>
      <c r="C236" s="26" t="s">
        <v>331</v>
      </c>
      <c r="D236" s="30">
        <v>112</v>
      </c>
      <c r="E236" s="30" t="str">
        <f t="shared" si="90"/>
        <v>4</v>
      </c>
      <c r="F236" s="30" t="str">
        <f t="shared" si="91"/>
        <v>42</v>
      </c>
      <c r="G236" s="26" t="str">
        <f t="shared" si="92"/>
        <v>422</v>
      </c>
      <c r="H236" s="86" t="s">
        <v>30</v>
      </c>
      <c r="I236" s="86" t="s">
        <v>32</v>
      </c>
      <c r="J236" s="87" t="e">
        <f>SUMIFS([2]Anl_20250630!$K$6:$K$173,[2]Anl_20250630!$A$6:$A$173,A236)</f>
        <v>#VALUE!</v>
      </c>
      <c r="K236" s="87">
        <f>_xlfn.IFNA(VLOOKUP(T236,[3]Rashodi_2026_RI!$A$18:$Z$10000,14,FALSE),0)</f>
        <v>171500</v>
      </c>
      <c r="L236" s="87">
        <f>_xlfn.IFNA(VLOOKUP(T236,[3]Rashodi_2026_RI!$A$18:$Z$10000,15,FALSE),0)</f>
        <v>0</v>
      </c>
      <c r="M236" s="87" t="e">
        <f t="shared" si="93"/>
        <v>#VALUE!</v>
      </c>
      <c r="N236" s="87">
        <f t="shared" si="94"/>
        <v>0</v>
      </c>
      <c r="O236" s="31"/>
      <c r="S236" s="32"/>
      <c r="T236" s="25" t="str">
        <f t="shared" si="89"/>
        <v>K2124011124223</v>
      </c>
    </row>
    <row r="237" spans="1:20" ht="20.100000000000001" hidden="1" customHeight="1" outlineLevel="1" x14ac:dyDescent="0.2">
      <c r="A237" s="25" t="str">
        <f t="shared" si="70"/>
        <v>K2124011124231</v>
      </c>
      <c r="B237" s="30" t="s">
        <v>472</v>
      </c>
      <c r="C237" s="26" t="s">
        <v>331</v>
      </c>
      <c r="D237" s="30">
        <v>112</v>
      </c>
      <c r="E237" s="30" t="str">
        <f t="shared" si="90"/>
        <v>4</v>
      </c>
      <c r="F237" s="30" t="str">
        <f t="shared" si="91"/>
        <v>42</v>
      </c>
      <c r="G237" s="26" t="str">
        <f t="shared" si="92"/>
        <v>423</v>
      </c>
      <c r="H237" s="86" t="s">
        <v>14</v>
      </c>
      <c r="I237" s="86" t="s">
        <v>16</v>
      </c>
      <c r="J237" s="87" t="e">
        <f>SUMIFS([2]Anl_20250630!$K$6:$K$173,[2]Anl_20250630!$A$6:$A$173,A237)</f>
        <v>#VALUE!</v>
      </c>
      <c r="K237" s="87">
        <f>_xlfn.IFNA(VLOOKUP(T237,[3]Rashodi_2026_RI!$A$18:$Z$10000,14,FALSE),0)</f>
        <v>166500</v>
      </c>
      <c r="L237" s="87">
        <f>_xlfn.IFNA(VLOOKUP(T237,[3]Rashodi_2026_RI!$A$18:$Z$10000,15,FALSE),0)</f>
        <v>166500</v>
      </c>
      <c r="M237" s="87" t="e">
        <f t="shared" si="93"/>
        <v>#VALUE!</v>
      </c>
      <c r="N237" s="87">
        <f t="shared" si="94"/>
        <v>100</v>
      </c>
      <c r="O237" s="31"/>
      <c r="T237" s="25" t="str">
        <f t="shared" si="89"/>
        <v>K2124011124231</v>
      </c>
    </row>
    <row r="238" spans="1:20" ht="20.100000000000001" hidden="1" customHeight="1" outlineLevel="1" x14ac:dyDescent="0.2">
      <c r="A238" s="25" t="str">
        <f t="shared" ref="A238:A266" si="95">CONCATENATE(C238,D238,H238)</f>
        <v>K2124011124241</v>
      </c>
      <c r="B238" s="30" t="s">
        <v>472</v>
      </c>
      <c r="C238" s="26" t="s">
        <v>331</v>
      </c>
      <c r="D238" s="30">
        <v>112</v>
      </c>
      <c r="E238" s="30" t="str">
        <f t="shared" si="90"/>
        <v>4</v>
      </c>
      <c r="F238" s="30" t="str">
        <f t="shared" si="91"/>
        <v>42</v>
      </c>
      <c r="G238" s="26" t="str">
        <f t="shared" si="92"/>
        <v>424</v>
      </c>
      <c r="H238" s="86" t="s">
        <v>17</v>
      </c>
      <c r="I238" s="86" t="s">
        <v>19</v>
      </c>
      <c r="J238" s="87" t="e">
        <f>SUMIFS([2]Anl_20250630!$K$6:$K$173,[2]Anl_20250630!$A$6:$A$173,A238)</f>
        <v>#VALUE!</v>
      </c>
      <c r="K238" s="87">
        <f>_xlfn.IFNA(VLOOKUP(T238,[3]Rashodi_2026_RI!$A$18:$Z$10000,14,FALSE),0)</f>
        <v>1525000</v>
      </c>
      <c r="L238" s="87">
        <f>_xlfn.IFNA(VLOOKUP(T238,[3]Rashodi_2026_RI!$A$18:$Z$10000,15,FALSE),0)</f>
        <v>762502</v>
      </c>
      <c r="M238" s="87" t="e">
        <f t="shared" si="93"/>
        <v>#VALUE!</v>
      </c>
      <c r="N238" s="87">
        <f t="shared" si="94"/>
        <v>50.000131147540984</v>
      </c>
      <c r="O238" s="31"/>
      <c r="S238" s="32"/>
      <c r="T238" s="25" t="str">
        <f t="shared" si="89"/>
        <v>K2124011124241</v>
      </c>
    </row>
    <row r="239" spans="1:20" ht="20.100000000000001" hidden="1" customHeight="1" outlineLevel="1" x14ac:dyDescent="0.2">
      <c r="A239" s="25" t="str">
        <f t="shared" si="95"/>
        <v>K2124011124262</v>
      </c>
      <c r="B239" s="30" t="s">
        <v>472</v>
      </c>
      <c r="C239" s="26" t="s">
        <v>331</v>
      </c>
      <c r="D239" s="30">
        <v>112</v>
      </c>
      <c r="E239" s="30" t="str">
        <f t="shared" si="90"/>
        <v>4</v>
      </c>
      <c r="F239" s="30" t="str">
        <f t="shared" si="91"/>
        <v>42</v>
      </c>
      <c r="G239" s="26" t="str">
        <f t="shared" si="92"/>
        <v>426</v>
      </c>
      <c r="H239" s="212" t="s">
        <v>20</v>
      </c>
      <c r="I239" s="86" t="s">
        <v>22</v>
      </c>
      <c r="J239" s="87" t="e">
        <f>SUMIFS([2]Anl_20250630!$K$6:$K$173,[2]Anl_20250630!$A$6:$A$173,A239)</f>
        <v>#VALUE!</v>
      </c>
      <c r="K239" s="87">
        <f>_xlfn.IFNA(VLOOKUP(T239,[3]Rashodi_2026_RI!$A$18:$Z$10000,14,FALSE),0)</f>
        <v>4200</v>
      </c>
      <c r="L239" s="87">
        <f>_xlfn.IFNA(VLOOKUP(T239,[3]Rashodi_2026_RI!$A$18:$Z$10000,15,FALSE),0)</f>
        <v>0</v>
      </c>
      <c r="M239" s="87" t="e">
        <f t="shared" si="93"/>
        <v>#VALUE!</v>
      </c>
      <c r="N239" s="87">
        <f t="shared" si="94"/>
        <v>0</v>
      </c>
      <c r="O239" s="31"/>
      <c r="S239" s="32"/>
      <c r="T239" s="25" t="str">
        <f t="shared" si="89"/>
        <v>K2124011124262</v>
      </c>
    </row>
    <row r="240" spans="1:20" ht="20.100000000000001" hidden="1" customHeight="1" outlineLevel="1" x14ac:dyDescent="0.2">
      <c r="A240" s="25" t="str">
        <f t="shared" si="95"/>
        <v>K2124011124511</v>
      </c>
      <c r="B240" s="30" t="s">
        <v>472</v>
      </c>
      <c r="C240" s="26" t="s">
        <v>331</v>
      </c>
      <c r="D240" s="30">
        <v>112</v>
      </c>
      <c r="E240" s="30" t="str">
        <f t="shared" si="90"/>
        <v>4</v>
      </c>
      <c r="F240" s="30" t="str">
        <f t="shared" si="91"/>
        <v>45</v>
      </c>
      <c r="G240" s="26" t="str">
        <f t="shared" si="92"/>
        <v>451</v>
      </c>
      <c r="H240" s="86" t="s">
        <v>23</v>
      </c>
      <c r="I240" s="86" t="s">
        <v>25</v>
      </c>
      <c r="J240" s="87" t="e">
        <f>SUMIFS([2]Anl_20250630!$K$6:$K$173,[2]Anl_20250630!$A$6:$A$173,A240)</f>
        <v>#VALUE!</v>
      </c>
      <c r="K240" s="87">
        <f>_xlfn.IFNA(VLOOKUP(T240,[3]Rashodi_2026_RI!$A$18:$Z$10000,14,FALSE),0)</f>
        <v>271500</v>
      </c>
      <c r="L240" s="87">
        <f>_xlfn.IFNA(VLOOKUP(T240,[3]Rashodi_2026_RI!$A$18:$Z$10000,15,FALSE),0)</f>
        <v>217159.85</v>
      </c>
      <c r="M240" s="87" t="e">
        <f t="shared" si="93"/>
        <v>#VALUE!</v>
      </c>
      <c r="N240" s="87">
        <f t="shared" si="94"/>
        <v>79.98521178637202</v>
      </c>
      <c r="O240" s="31"/>
      <c r="T240" s="25" t="str">
        <f t="shared" si="89"/>
        <v>K2124011124511</v>
      </c>
    </row>
    <row r="241" spans="1:20" ht="24.95" customHeight="1" collapsed="1" x14ac:dyDescent="0.2">
      <c r="B241" s="30"/>
      <c r="H241" s="230" t="s">
        <v>129</v>
      </c>
      <c r="I241" s="230"/>
      <c r="J241" s="79" t="e">
        <f>SUMIFS(J242:J408,$C242:$C408,"K212401",$D242:$D408,"431")</f>
        <v>#VALUE!</v>
      </c>
      <c r="K241" s="79">
        <f>SUMIFS(K242:K408,$C242:$C408,"K212401",$D242:$D408,"431")</f>
        <v>26000</v>
      </c>
      <c r="L241" s="79">
        <f>SUMIFS(L242:L408,$C242:$C408,"K212401",$D242:$D408,"431")</f>
        <v>15326.16</v>
      </c>
      <c r="M241" s="79" t="e">
        <f t="shared" si="93"/>
        <v>#VALUE!</v>
      </c>
      <c r="N241" s="79">
        <f t="shared" si="94"/>
        <v>58.946769230769227</v>
      </c>
      <c r="S241" s="32"/>
    </row>
    <row r="242" spans="1:20" ht="20.100000000000001" hidden="1" customHeight="1" outlineLevel="1" x14ac:dyDescent="0.2">
      <c r="A242" s="25" t="str">
        <f t="shared" si="95"/>
        <v>K2124014314221</v>
      </c>
      <c r="B242" s="30" t="s">
        <v>472</v>
      </c>
      <c r="C242" s="26" t="s">
        <v>331</v>
      </c>
      <c r="D242" s="30">
        <v>431</v>
      </c>
      <c r="E242" s="30" t="str">
        <f t="shared" ref="E242:E249" si="96">LEFT(H242,1)</f>
        <v>4</v>
      </c>
      <c r="F242" s="30" t="str">
        <f t="shared" ref="F242:F249" si="97">LEFT(H242,2)</f>
        <v>42</v>
      </c>
      <c r="G242" s="26" t="str">
        <f t="shared" ref="G242:G266" si="98">LEFT(H242,3)</f>
        <v>422</v>
      </c>
      <c r="H242" s="86" t="s">
        <v>27</v>
      </c>
      <c r="I242" s="86" t="s">
        <v>29</v>
      </c>
      <c r="J242" s="87" t="e">
        <f>SUMIFS([2]Anl_20250630!$K$6:$K$173,[2]Anl_20250630!$A$6:$A$173,A242)</f>
        <v>#VALUE!</v>
      </c>
      <c r="K242" s="87">
        <f>_xlfn.IFNA(VLOOKUP(T242,[3]Rashodi_2026_RI!$A$18:$Z$10000,14,FALSE),0)</f>
        <v>20000</v>
      </c>
      <c r="L242" s="87">
        <f>_xlfn.IFNA(VLOOKUP(T242,[3]Rashodi_2026_RI!$A$18:$Z$10000,15,FALSE),0)</f>
        <v>7511.53</v>
      </c>
      <c r="M242" s="87" t="e">
        <f t="shared" si="93"/>
        <v>#VALUE!</v>
      </c>
      <c r="N242" s="87">
        <f t="shared" si="94"/>
        <v>37.557649999999995</v>
      </c>
      <c r="O242" s="31"/>
      <c r="T242" s="25" t="str">
        <f t="shared" si="89"/>
        <v>K2124014314221</v>
      </c>
    </row>
    <row r="243" spans="1:20" ht="20.100000000000001" hidden="1" customHeight="1" outlineLevel="1" x14ac:dyDescent="0.2">
      <c r="A243" s="25" t="str">
        <f t="shared" si="95"/>
        <v>K2124014314222</v>
      </c>
      <c r="B243" s="30" t="s">
        <v>472</v>
      </c>
      <c r="C243" s="26" t="s">
        <v>331</v>
      </c>
      <c r="D243" s="30">
        <v>431</v>
      </c>
      <c r="E243" s="30" t="str">
        <f t="shared" si="96"/>
        <v>4</v>
      </c>
      <c r="F243" s="30" t="str">
        <f t="shared" si="97"/>
        <v>42</v>
      </c>
      <c r="G243" s="26" t="str">
        <f t="shared" si="98"/>
        <v>422</v>
      </c>
      <c r="H243" s="86" t="s">
        <v>272</v>
      </c>
      <c r="I243" s="86" t="s">
        <v>274</v>
      </c>
      <c r="J243" s="87" t="e">
        <f>SUMIFS([2]Anl_20250630!$K$6:$K$173,[2]Anl_20250630!$A$6:$A$173,A243)</f>
        <v>#VALUE!</v>
      </c>
      <c r="K243" s="87">
        <f>_xlfn.IFNA(VLOOKUP(T243,[3]Rashodi_2026_RI!$A$18:$Z$10000,14,FALSE),0)</f>
        <v>0</v>
      </c>
      <c r="L243" s="87">
        <f>_xlfn.IFNA(VLOOKUP(T243,[3]Rashodi_2026_RI!$A$18:$Z$10000,15,FALSE),0)</f>
        <v>0</v>
      </c>
      <c r="M243" s="87" t="e">
        <f t="shared" si="93"/>
        <v>#VALUE!</v>
      </c>
      <c r="N243" s="87">
        <f t="shared" si="94"/>
        <v>0</v>
      </c>
      <c r="O243" s="31"/>
      <c r="T243" s="25" t="str">
        <f t="shared" si="89"/>
        <v>K2124014314222</v>
      </c>
    </row>
    <row r="244" spans="1:20" ht="20.100000000000001" hidden="1" customHeight="1" outlineLevel="1" x14ac:dyDescent="0.2">
      <c r="A244" s="25" t="str">
        <f t="shared" si="95"/>
        <v>K2124014314223</v>
      </c>
      <c r="B244" s="30" t="s">
        <v>472</v>
      </c>
      <c r="C244" s="26" t="s">
        <v>331</v>
      </c>
      <c r="D244" s="30">
        <v>431</v>
      </c>
      <c r="E244" s="30" t="str">
        <f t="shared" si="96"/>
        <v>4</v>
      </c>
      <c r="F244" s="30" t="str">
        <f t="shared" si="97"/>
        <v>42</v>
      </c>
      <c r="G244" s="26" t="str">
        <f t="shared" si="98"/>
        <v>422</v>
      </c>
      <c r="H244" s="86" t="s">
        <v>30</v>
      </c>
      <c r="I244" s="86" t="s">
        <v>32</v>
      </c>
      <c r="J244" s="87" t="e">
        <f>SUMIFS([2]Anl_20250630!$K$6:$K$173,[2]Anl_20250630!$A$6:$A$173,A244)</f>
        <v>#VALUE!</v>
      </c>
      <c r="K244" s="87">
        <f>_xlfn.IFNA(VLOOKUP(T244,[3]Rashodi_2026_RI!$A$18:$Z$10000,14,FALSE),0)</f>
        <v>5000</v>
      </c>
      <c r="L244" s="87">
        <f>_xlfn.IFNA(VLOOKUP(T244,[3]Rashodi_2026_RI!$A$18:$Z$10000,15,FALSE),0)</f>
        <v>5939.75</v>
      </c>
      <c r="M244" s="87" t="e">
        <f t="shared" si="93"/>
        <v>#VALUE!</v>
      </c>
      <c r="N244" s="87">
        <f t="shared" si="94"/>
        <v>118.795</v>
      </c>
      <c r="O244" s="31"/>
      <c r="T244" s="25" t="str">
        <f t="shared" si="89"/>
        <v>K2124014314223</v>
      </c>
    </row>
    <row r="245" spans="1:20" ht="20.100000000000001" hidden="1" customHeight="1" outlineLevel="1" x14ac:dyDescent="0.2">
      <c r="A245" s="25" t="str">
        <f t="shared" si="95"/>
        <v>K2124014314226</v>
      </c>
      <c r="B245" s="30" t="s">
        <v>472</v>
      </c>
      <c r="C245" s="26" t="s">
        <v>331</v>
      </c>
      <c r="D245" s="30">
        <v>431</v>
      </c>
      <c r="E245" s="30" t="str">
        <f t="shared" si="96"/>
        <v>4</v>
      </c>
      <c r="F245" s="30" t="str">
        <f t="shared" si="97"/>
        <v>42</v>
      </c>
      <c r="G245" s="26" t="str">
        <f t="shared" si="98"/>
        <v>422</v>
      </c>
      <c r="H245" s="86" t="s">
        <v>276</v>
      </c>
      <c r="I245" s="86" t="s">
        <v>278</v>
      </c>
      <c r="J245" s="87" t="e">
        <f>SUMIFS([2]Anl_20250630!$K$6:$K$173,[2]Anl_20250630!$A$6:$A$173,A245)</f>
        <v>#VALUE!</v>
      </c>
      <c r="K245" s="87">
        <f>_xlfn.IFNA(VLOOKUP(T245,[3]Rashodi_2026_RI!$A$18:$Z$10000,14,FALSE),0)</f>
        <v>0</v>
      </c>
      <c r="L245" s="87">
        <f>_xlfn.IFNA(VLOOKUP(T245,[3]Rashodi_2026_RI!$A$18:$Z$10000,15,FALSE),0)</f>
        <v>0</v>
      </c>
      <c r="M245" s="87" t="e">
        <f t="shared" si="93"/>
        <v>#VALUE!</v>
      </c>
      <c r="N245" s="87">
        <f t="shared" si="94"/>
        <v>0</v>
      </c>
      <c r="O245" s="31"/>
      <c r="T245" s="25" t="str">
        <f t="shared" si="89"/>
        <v>K2124014314226</v>
      </c>
    </row>
    <row r="246" spans="1:20" ht="20.100000000000001" hidden="1" customHeight="1" outlineLevel="1" x14ac:dyDescent="0.2">
      <c r="A246" s="25" t="str">
        <f t="shared" si="95"/>
        <v>K2124014314231</v>
      </c>
      <c r="B246" s="30" t="s">
        <v>472</v>
      </c>
      <c r="C246" s="26" t="s">
        <v>331</v>
      </c>
      <c r="D246" s="30">
        <v>431</v>
      </c>
      <c r="E246" s="30" t="str">
        <f t="shared" si="96"/>
        <v>4</v>
      </c>
      <c r="F246" s="30" t="str">
        <f t="shared" si="97"/>
        <v>42</v>
      </c>
      <c r="G246" s="26" t="str">
        <f t="shared" si="98"/>
        <v>423</v>
      </c>
      <c r="H246" s="86" t="s">
        <v>14</v>
      </c>
      <c r="I246" s="86" t="s">
        <v>16</v>
      </c>
      <c r="J246" s="87" t="e">
        <f>SUMIFS([2]Anl_20250630!$K$6:$K$173,[2]Anl_20250630!$A$6:$A$173,A246)</f>
        <v>#VALUE!</v>
      </c>
      <c r="K246" s="87">
        <f>_xlfn.IFNA(VLOOKUP(T246,[3]Rashodi_2026_RI!$A$18:$Z$10000,14,FALSE),0)</f>
        <v>0</v>
      </c>
      <c r="L246" s="87">
        <f>_xlfn.IFNA(VLOOKUP(T246,[3]Rashodi_2026_RI!$A$18:$Z$10000,15,FALSE),0)</f>
        <v>0</v>
      </c>
      <c r="M246" s="87" t="e">
        <f t="shared" si="93"/>
        <v>#VALUE!</v>
      </c>
      <c r="N246" s="87">
        <f t="shared" si="94"/>
        <v>0</v>
      </c>
      <c r="O246" s="31"/>
      <c r="T246" s="25" t="str">
        <f t="shared" si="89"/>
        <v>K2124014314231</v>
      </c>
    </row>
    <row r="247" spans="1:20" ht="20.100000000000001" hidden="1" customHeight="1" outlineLevel="1" x14ac:dyDescent="0.2">
      <c r="A247" s="25" t="str">
        <f t="shared" si="95"/>
        <v>K2124014314241</v>
      </c>
      <c r="B247" s="30" t="s">
        <v>472</v>
      </c>
      <c r="C247" s="26" t="s">
        <v>331</v>
      </c>
      <c r="D247" s="30">
        <v>431</v>
      </c>
      <c r="E247" s="30" t="str">
        <f t="shared" si="96"/>
        <v>4</v>
      </c>
      <c r="F247" s="30" t="str">
        <f t="shared" si="97"/>
        <v>42</v>
      </c>
      <c r="G247" s="26" t="str">
        <f t="shared" si="98"/>
        <v>424</v>
      </c>
      <c r="H247" s="86" t="s">
        <v>17</v>
      </c>
      <c r="I247" s="86" t="s">
        <v>19</v>
      </c>
      <c r="J247" s="87" t="e">
        <f>SUMIFS([2]Anl_20250630!$K$6:$K$173,[2]Anl_20250630!$A$6:$A$173,A247)</f>
        <v>#VALUE!</v>
      </c>
      <c r="K247" s="87">
        <f>_xlfn.IFNA(VLOOKUP(T247,[3]Rashodi_2026_RI!$A$18:$Z$10000,14,FALSE),0)</f>
        <v>1000</v>
      </c>
      <c r="L247" s="87">
        <f>_xlfn.IFNA(VLOOKUP(T247,[3]Rashodi_2026_RI!$A$18:$Z$10000,15,FALSE),0)</f>
        <v>0</v>
      </c>
      <c r="M247" s="87" t="e">
        <f t="shared" si="93"/>
        <v>#VALUE!</v>
      </c>
      <c r="N247" s="87">
        <f t="shared" si="94"/>
        <v>0</v>
      </c>
      <c r="O247" s="31"/>
      <c r="T247" s="25" t="str">
        <f t="shared" si="89"/>
        <v>K2124014314241</v>
      </c>
    </row>
    <row r="248" spans="1:20" ht="20.100000000000001" hidden="1" customHeight="1" outlineLevel="1" x14ac:dyDescent="0.2">
      <c r="A248" s="25" t="str">
        <f t="shared" si="95"/>
        <v>K2124014314262</v>
      </c>
      <c r="B248" s="30" t="s">
        <v>472</v>
      </c>
      <c r="C248" s="26" t="s">
        <v>331</v>
      </c>
      <c r="D248" s="30">
        <v>431</v>
      </c>
      <c r="E248" s="30" t="str">
        <f t="shared" si="96"/>
        <v>4</v>
      </c>
      <c r="F248" s="30" t="str">
        <f t="shared" si="97"/>
        <v>42</v>
      </c>
      <c r="G248" s="26" t="str">
        <f t="shared" si="98"/>
        <v>426</v>
      </c>
      <c r="H248" s="86" t="s">
        <v>20</v>
      </c>
      <c r="I248" s="86" t="s">
        <v>22</v>
      </c>
      <c r="J248" s="87" t="e">
        <f>SUMIFS([2]Anl_20250630!$K$6:$K$173,[2]Anl_20250630!$A$6:$A$173,A248)</f>
        <v>#VALUE!</v>
      </c>
      <c r="K248" s="87">
        <f>_xlfn.IFNA(VLOOKUP(T248,[3]Rashodi_2026_RI!$A$18:$Z$10000,14,FALSE),0)</f>
        <v>0</v>
      </c>
      <c r="L248" s="87">
        <f>_xlfn.IFNA(VLOOKUP(T248,[3]Rashodi_2026_RI!$A$18:$Z$10000,15,FALSE),0)</f>
        <v>1874.88</v>
      </c>
      <c r="M248" s="87" t="e">
        <f t="shared" si="93"/>
        <v>#VALUE!</v>
      </c>
      <c r="N248" s="87">
        <f t="shared" si="94"/>
        <v>0</v>
      </c>
      <c r="O248" s="31"/>
      <c r="S248" s="29" t="s">
        <v>555</v>
      </c>
      <c r="T248" s="25" t="str">
        <f t="shared" si="89"/>
        <v>K2124014314262</v>
      </c>
    </row>
    <row r="249" spans="1:20" ht="20.100000000000001" hidden="1" customHeight="1" outlineLevel="1" x14ac:dyDescent="0.2">
      <c r="A249" s="25" t="str">
        <f t="shared" si="95"/>
        <v>K2124014314511</v>
      </c>
      <c r="B249" s="30" t="s">
        <v>472</v>
      </c>
      <c r="C249" s="26" t="s">
        <v>331</v>
      </c>
      <c r="D249" s="30">
        <v>431</v>
      </c>
      <c r="E249" s="30" t="str">
        <f t="shared" si="96"/>
        <v>4</v>
      </c>
      <c r="F249" s="30" t="str">
        <f t="shared" si="97"/>
        <v>45</v>
      </c>
      <c r="G249" s="26" t="str">
        <f t="shared" si="98"/>
        <v>451</v>
      </c>
      <c r="H249" s="86" t="s">
        <v>23</v>
      </c>
      <c r="I249" s="86" t="s">
        <v>25</v>
      </c>
      <c r="J249" s="87" t="e">
        <f>SUMIFS([2]Anl_20250630!$K$6:$K$173,[2]Anl_20250630!$A$6:$A$173,A249)</f>
        <v>#VALUE!</v>
      </c>
      <c r="K249" s="87">
        <f>_xlfn.IFNA(VLOOKUP(T249,[3]Rashodi_2026_RI!$A$18:$Z$10000,14,FALSE),0)</f>
        <v>0</v>
      </c>
      <c r="L249" s="87">
        <f>_xlfn.IFNA(VLOOKUP(T249,[3]Rashodi_2026_RI!$A$18:$Z$10000,15,FALSE),0)</f>
        <v>0</v>
      </c>
      <c r="M249" s="87" t="e">
        <f t="shared" si="93"/>
        <v>#VALUE!</v>
      </c>
      <c r="N249" s="87">
        <f t="shared" si="94"/>
        <v>0</v>
      </c>
      <c r="O249" s="31" t="s">
        <v>347</v>
      </c>
      <c r="P249" s="25" t="s">
        <v>351</v>
      </c>
      <c r="Q249" s="25" t="s">
        <v>348</v>
      </c>
      <c r="R249" s="25" t="s">
        <v>349</v>
      </c>
      <c r="T249" s="25" t="str">
        <f t="shared" si="89"/>
        <v>K2124014314511</v>
      </c>
    </row>
    <row r="250" spans="1:20" ht="24.95" customHeight="1" collapsed="1" x14ac:dyDescent="0.2">
      <c r="B250" s="30"/>
      <c r="H250" s="230" t="s">
        <v>26</v>
      </c>
      <c r="I250" s="230"/>
      <c r="J250" s="79" t="e">
        <f>SUMIFS(J251:J418,$C251:$C418,"K212401",$D251:$D418,"521")</f>
        <v>#VALUE!</v>
      </c>
      <c r="K250" s="79">
        <f>SUMIFS(K251:K418,$C251:$C418,"K212401",$D251:$D418,"521")</f>
        <v>882000</v>
      </c>
      <c r="L250" s="79">
        <f t="shared" ref="L250" si="99">SUMIFS(L251:L418,$C251:$C418,"K212401",$D251:$D418,"521")</f>
        <v>138417.60999999999</v>
      </c>
      <c r="M250" s="79" t="e">
        <f t="shared" si="93"/>
        <v>#VALUE!</v>
      </c>
      <c r="N250" s="79">
        <f t="shared" si="94"/>
        <v>15.693606575963717</v>
      </c>
      <c r="O250" s="25">
        <f>SUMIFS(O251:O418,$C251:$C418,"K212401",$D251:$D418,"521")</f>
        <v>342764.86</v>
      </c>
      <c r="P250" s="25">
        <f>SUMIFS(P251:P418,$C251:$C418,"K212401",$D251:$D418,"521")</f>
        <v>319999.93</v>
      </c>
      <c r="Q250" s="25">
        <f>SUMIFS(Q251:Q418,$C251:$C418,"K212401",$D251:$D418,"521")</f>
        <v>25990.7</v>
      </c>
      <c r="R250" s="25">
        <f>SUMIFS(R251:R418,$C251:$C418,"K212401",$D251:$D418,"521")</f>
        <v>12923.06</v>
      </c>
      <c r="S250" s="32"/>
    </row>
    <row r="251" spans="1:20" ht="20.100000000000001" hidden="1" customHeight="1" outlineLevel="1" x14ac:dyDescent="0.2">
      <c r="A251" s="25" t="str">
        <f t="shared" si="95"/>
        <v>K2124015214221</v>
      </c>
      <c r="B251" s="30" t="s">
        <v>472</v>
      </c>
      <c r="C251" s="26" t="s">
        <v>331</v>
      </c>
      <c r="D251" s="30">
        <v>521</v>
      </c>
      <c r="E251" s="30" t="str">
        <f>LEFT(H251,1)</f>
        <v>4</v>
      </c>
      <c r="F251" s="30" t="str">
        <f>LEFT(H251,2)</f>
        <v>42</v>
      </c>
      <c r="G251" s="26" t="str">
        <f t="shared" si="98"/>
        <v>422</v>
      </c>
      <c r="H251" s="86" t="s">
        <v>27</v>
      </c>
      <c r="I251" s="86" t="s">
        <v>29</v>
      </c>
      <c r="J251" s="87" t="e">
        <f>SUMIFS([2]Anl_20250630!$K$6:$K$173,[2]Anl_20250630!$A$6:$A$173,A251)</f>
        <v>#VALUE!</v>
      </c>
      <c r="K251" s="87">
        <f>_xlfn.IFNA(VLOOKUP(T251,[3]Rashodi_2026_RI!$A$18:$Z$10000,14,FALSE),0)</f>
        <v>0</v>
      </c>
      <c r="L251" s="87">
        <f>_xlfn.IFNA(VLOOKUP(T251,[3]Rashodi_2026_RI!$A$18:$Z$10000,15,FALSE),0)</f>
        <v>0</v>
      </c>
      <c r="M251" s="87" t="e">
        <f t="shared" si="93"/>
        <v>#VALUE!</v>
      </c>
      <c r="N251" s="87">
        <f t="shared" si="94"/>
        <v>0</v>
      </c>
      <c r="O251" s="31">
        <v>221.98</v>
      </c>
      <c r="T251" s="25" t="str">
        <f t="shared" si="89"/>
        <v>K2124015214221</v>
      </c>
    </row>
    <row r="252" spans="1:20" ht="20.100000000000001" hidden="1" customHeight="1" outlineLevel="1" x14ac:dyDescent="0.2">
      <c r="A252" s="25" t="str">
        <f t="shared" si="95"/>
        <v>K2124015214223</v>
      </c>
      <c r="B252" s="30" t="s">
        <v>472</v>
      </c>
      <c r="C252" s="26" t="s">
        <v>331</v>
      </c>
      <c r="D252" s="30">
        <v>521</v>
      </c>
      <c r="E252" s="30" t="str">
        <f>LEFT(H252,1)</f>
        <v>4</v>
      </c>
      <c r="F252" s="30" t="str">
        <f>LEFT(H252,2)</f>
        <v>42</v>
      </c>
      <c r="G252" s="26" t="str">
        <f t="shared" si="98"/>
        <v>422</v>
      </c>
      <c r="H252" s="86" t="s">
        <v>30</v>
      </c>
      <c r="I252" s="86" t="s">
        <v>32</v>
      </c>
      <c r="J252" s="87" t="e">
        <f>SUMIFS([2]Anl_20250630!$K$6:$K$173,[2]Anl_20250630!$A$6:$A$173,A252)</f>
        <v>#VALUE!</v>
      </c>
      <c r="K252" s="87">
        <f>_xlfn.IFNA(VLOOKUP(T252,[3]Rashodi_2026_RI!$A$18:$Z$10000,14,FALSE),0)</f>
        <v>0</v>
      </c>
      <c r="L252" s="87">
        <f>_xlfn.IFNA(VLOOKUP(T252,[3]Rashodi_2026_RI!$A$18:$Z$10000,15,FALSE),0)</f>
        <v>0</v>
      </c>
      <c r="M252" s="87" t="e">
        <f t="shared" si="93"/>
        <v>#VALUE!</v>
      </c>
      <c r="N252" s="87">
        <f t="shared" si="94"/>
        <v>0</v>
      </c>
      <c r="O252" s="31"/>
      <c r="T252" s="25" t="str">
        <f t="shared" si="89"/>
        <v>K2124015214223</v>
      </c>
    </row>
    <row r="253" spans="1:20" ht="20.100000000000001" hidden="1" customHeight="1" outlineLevel="1" x14ac:dyDescent="0.2">
      <c r="A253" s="25" t="str">
        <f t="shared" si="95"/>
        <v>K2124015214241</v>
      </c>
      <c r="B253" s="30" t="s">
        <v>472</v>
      </c>
      <c r="C253" s="26" t="s">
        <v>331</v>
      </c>
      <c r="D253" s="30">
        <v>521</v>
      </c>
      <c r="E253" s="30" t="str">
        <f>LEFT(H253,1)</f>
        <v>4</v>
      </c>
      <c r="F253" s="30" t="str">
        <f>LEFT(H253,2)</f>
        <v>42</v>
      </c>
      <c r="G253" s="26" t="str">
        <f t="shared" si="98"/>
        <v>424</v>
      </c>
      <c r="H253" s="86" t="s">
        <v>17</v>
      </c>
      <c r="I253" s="86" t="s">
        <v>19</v>
      </c>
      <c r="J253" s="87" t="e">
        <f>SUMIFS([2]Anl_20250630!$K$6:$K$173,[2]Anl_20250630!$A$6:$A$173,A253)</f>
        <v>#VALUE!</v>
      </c>
      <c r="K253" s="87">
        <f>_xlfn.IFNA(VLOOKUP(T253,[3]Rashodi_2026_RI!$A$18:$Z$10000,14,FALSE),0)</f>
        <v>882000</v>
      </c>
      <c r="L253" s="87">
        <f>_xlfn.IFNA(VLOOKUP(T253,[3]Rashodi_2026_RI!$A$18:$Z$10000,15,FALSE),0)</f>
        <v>138417.60999999999</v>
      </c>
      <c r="M253" s="87" t="e">
        <f t="shared" si="93"/>
        <v>#VALUE!</v>
      </c>
      <c r="N253" s="87">
        <f t="shared" si="94"/>
        <v>15.693606575963717</v>
      </c>
      <c r="O253" s="31">
        <v>342542.88</v>
      </c>
      <c r="P253" s="25">
        <v>319999.93</v>
      </c>
      <c r="Q253" s="25">
        <v>25990.7</v>
      </c>
      <c r="R253" s="25">
        <v>12923.06</v>
      </c>
      <c r="T253" s="25" t="str">
        <f t="shared" si="89"/>
        <v>K2124015214241</v>
      </c>
    </row>
    <row r="254" spans="1:20" ht="24.95" customHeight="1" collapsed="1" x14ac:dyDescent="0.2">
      <c r="B254" s="30"/>
      <c r="H254" s="230" t="s">
        <v>34</v>
      </c>
      <c r="I254" s="230"/>
      <c r="J254" s="79" t="e">
        <f>SUMIFS(J255:J422,$C255:$C422,"K212401",$D255:$D422,"541")</f>
        <v>#VALUE!</v>
      </c>
      <c r="K254" s="79">
        <f>SUMIFS(K255:K422,$C255:$C422,"K212401",$D255:$D422,"541")</f>
        <v>0</v>
      </c>
      <c r="L254" s="79">
        <f t="shared" ref="L254" si="100">SUMIFS(L255:L422,$C255:$C422,"K212401",$D255:$D422,"541")</f>
        <v>0</v>
      </c>
      <c r="M254" s="79" t="e">
        <f t="shared" si="93"/>
        <v>#VALUE!</v>
      </c>
      <c r="N254" s="79">
        <f t="shared" si="94"/>
        <v>0</v>
      </c>
    </row>
    <row r="255" spans="1:20" ht="20.100000000000001" hidden="1" customHeight="1" outlineLevel="1" x14ac:dyDescent="0.2">
      <c r="A255" s="25" t="str">
        <f t="shared" si="95"/>
        <v>K2124015414221</v>
      </c>
      <c r="B255" s="30" t="s">
        <v>472</v>
      </c>
      <c r="C255" s="26" t="s">
        <v>331</v>
      </c>
      <c r="D255" s="30">
        <v>541</v>
      </c>
      <c r="E255" s="30" t="str">
        <f>LEFT(H255,1)</f>
        <v>4</v>
      </c>
      <c r="F255" s="30" t="str">
        <f>LEFT(H255,2)</f>
        <v>42</v>
      </c>
      <c r="G255" s="26" t="str">
        <f t="shared" si="98"/>
        <v>422</v>
      </c>
      <c r="H255" s="86" t="s">
        <v>27</v>
      </c>
      <c r="I255" s="86" t="s">
        <v>29</v>
      </c>
      <c r="J255" s="87" t="e">
        <f>SUMIFS([2]Anl_20250630!$K$6:$K$173,[2]Anl_20250630!$A$6:$A$173,A255)</f>
        <v>#VALUE!</v>
      </c>
      <c r="K255" s="87">
        <f>_xlfn.IFNA(VLOOKUP(T255,[3]Rashodi_2026_RI!$A$18:$Z$10000,14,FALSE),0)</f>
        <v>0</v>
      </c>
      <c r="L255" s="87">
        <f>_xlfn.IFNA(VLOOKUP(T255,[3]Rashodi_2026_RI!$A$18:$Z$10000,15,FALSE),0)</f>
        <v>0</v>
      </c>
      <c r="M255" s="87" t="e">
        <f t="shared" si="93"/>
        <v>#VALUE!</v>
      </c>
      <c r="N255" s="87">
        <f t="shared" si="94"/>
        <v>0</v>
      </c>
      <c r="O255" s="31"/>
      <c r="T255" s="25" t="str">
        <f t="shared" si="89"/>
        <v>K2124015414221</v>
      </c>
    </row>
    <row r="256" spans="1:20" ht="20.100000000000001" hidden="1" customHeight="1" outlineLevel="1" x14ac:dyDescent="0.2">
      <c r="A256" s="25" t="str">
        <f t="shared" si="95"/>
        <v>K2124015414241</v>
      </c>
      <c r="B256" s="30" t="s">
        <v>472</v>
      </c>
      <c r="C256" s="26" t="s">
        <v>331</v>
      </c>
      <c r="D256" s="30">
        <v>541</v>
      </c>
      <c r="E256" s="30" t="str">
        <f>LEFT(H256,1)</f>
        <v>4</v>
      </c>
      <c r="F256" s="30" t="str">
        <f>LEFT(H256,2)</f>
        <v>42</v>
      </c>
      <c r="G256" s="26" t="str">
        <f t="shared" si="98"/>
        <v>424</v>
      </c>
      <c r="H256" s="86" t="s">
        <v>17</v>
      </c>
      <c r="I256" s="86" t="s">
        <v>19</v>
      </c>
      <c r="J256" s="87" t="e">
        <f>SUMIFS([2]Anl_20250630!$K$6:$K$173,[2]Anl_20250630!$A$6:$A$173,A256)</f>
        <v>#VALUE!</v>
      </c>
      <c r="K256" s="87">
        <f>_xlfn.IFNA(VLOOKUP(T256,[3]Rashodi_2026_RI!$A$18:$Z$10000,14,FALSE),0)</f>
        <v>0</v>
      </c>
      <c r="L256" s="87">
        <f>_xlfn.IFNA(VLOOKUP(T256,[3]Rashodi_2026_RI!$A$18:$Z$10000,15,FALSE),0)</f>
        <v>0</v>
      </c>
      <c r="M256" s="87" t="e">
        <f t="shared" si="93"/>
        <v>#VALUE!</v>
      </c>
      <c r="N256" s="87">
        <f t="shared" si="94"/>
        <v>0</v>
      </c>
      <c r="O256" s="31"/>
      <c r="T256" s="25" t="str">
        <f t="shared" si="89"/>
        <v>K2124015414241</v>
      </c>
    </row>
    <row r="257" spans="1:20" ht="20.100000000000001" hidden="1" customHeight="1" outlineLevel="1" x14ac:dyDescent="0.2">
      <c r="A257" s="25" t="str">
        <f t="shared" si="95"/>
        <v>K2124015414262</v>
      </c>
      <c r="B257" s="30" t="s">
        <v>472</v>
      </c>
      <c r="C257" s="26" t="s">
        <v>331</v>
      </c>
      <c r="D257" s="30">
        <v>541</v>
      </c>
      <c r="E257" s="30" t="str">
        <f>LEFT(H257,1)</f>
        <v>4</v>
      </c>
      <c r="F257" s="30" t="str">
        <f>LEFT(H257,2)</f>
        <v>42</v>
      </c>
      <c r="G257" s="26" t="str">
        <f t="shared" si="98"/>
        <v>426</v>
      </c>
      <c r="H257" s="95">
        <v>4262</v>
      </c>
      <c r="I257" s="86" t="s">
        <v>22</v>
      </c>
      <c r="J257" s="87" t="e">
        <f>SUMIFS([2]Anl_20250630!$K$6:$K$173,[2]Anl_20250630!$A$6:$A$173,A257)</f>
        <v>#VALUE!</v>
      </c>
      <c r="K257" s="87">
        <f>_xlfn.IFNA(VLOOKUP(T257,[3]Rashodi_2026_RI!$A$18:$Z$10000,14,FALSE),0)</f>
        <v>0</v>
      </c>
      <c r="L257" s="87">
        <f>_xlfn.IFNA(VLOOKUP(T257,[3]Rashodi_2026_RI!$A$18:$Z$10000,15,FALSE),0)</f>
        <v>0</v>
      </c>
      <c r="M257" s="87" t="e">
        <f t="shared" si="93"/>
        <v>#VALUE!</v>
      </c>
      <c r="N257" s="87">
        <f t="shared" si="94"/>
        <v>0</v>
      </c>
      <c r="O257" s="31"/>
      <c r="S257" s="29" t="s">
        <v>555</v>
      </c>
      <c r="T257" s="25" t="str">
        <f t="shared" si="89"/>
        <v>K2124015414262</v>
      </c>
    </row>
    <row r="258" spans="1:20" ht="24.95" customHeight="1" collapsed="1" x14ac:dyDescent="0.2">
      <c r="B258" s="30"/>
      <c r="H258" s="230" t="s">
        <v>37</v>
      </c>
      <c r="I258" s="230"/>
      <c r="J258" s="79" t="e">
        <f>SUMIFS(J259:J425,$C259:$C425,"K212401",$D259:$D425,"571")</f>
        <v>#VALUE!</v>
      </c>
      <c r="K258" s="79">
        <f>SUMIFS(K259:K425,$C259:$C425,"K212401",$D259:$D425,"571")</f>
        <v>0</v>
      </c>
      <c r="L258" s="79">
        <f t="shared" ref="L258" si="101">SUMIFS(L259:L425,$C259:$C425,"K212401",$D259:$D425,"571")</f>
        <v>0</v>
      </c>
      <c r="M258" s="79" t="e">
        <f t="shared" si="93"/>
        <v>#VALUE!</v>
      </c>
      <c r="N258" s="79">
        <f t="shared" si="94"/>
        <v>0</v>
      </c>
    </row>
    <row r="259" spans="1:20" ht="20.100000000000001" hidden="1" customHeight="1" outlineLevel="1" x14ac:dyDescent="0.2">
      <c r="A259" s="25" t="str">
        <f t="shared" si="95"/>
        <v>K2124015713232</v>
      </c>
      <c r="B259" s="30" t="s">
        <v>472</v>
      </c>
      <c r="C259" s="26" t="s">
        <v>331</v>
      </c>
      <c r="D259" s="30">
        <v>571</v>
      </c>
      <c r="E259" s="30" t="str">
        <f>LEFT(H259,1)</f>
        <v>3</v>
      </c>
      <c r="F259" s="30" t="str">
        <f>LEFT(H259,2)</f>
        <v>32</v>
      </c>
      <c r="G259" s="26" t="str">
        <f t="shared" si="98"/>
        <v>323</v>
      </c>
      <c r="H259" s="86" t="s">
        <v>38</v>
      </c>
      <c r="I259" s="86" t="s">
        <v>40</v>
      </c>
      <c r="J259" s="87" t="e">
        <f>SUMIFS([2]Anl_20250630!$K$6:$K$173,[2]Anl_20250630!$A$6:$A$173,A259)</f>
        <v>#VALUE!</v>
      </c>
      <c r="K259" s="87">
        <f>_xlfn.IFNA(VLOOKUP(T259,[3]Rashodi_2026_RI!$A$18:$Z$10000,14,FALSE),0)</f>
        <v>0</v>
      </c>
      <c r="L259" s="87">
        <f>_xlfn.IFNA(VLOOKUP(T259,[3]Rashodi_2026_RI!$A$18:$Z$10000,15,FALSE),0)</f>
        <v>0</v>
      </c>
      <c r="M259" s="87" t="e">
        <f t="shared" si="93"/>
        <v>#VALUE!</v>
      </c>
      <c r="N259" s="87">
        <f t="shared" si="94"/>
        <v>0</v>
      </c>
      <c r="O259" s="31"/>
      <c r="T259" s="25" t="str">
        <f t="shared" si="89"/>
        <v>K2124015713232</v>
      </c>
    </row>
    <row r="260" spans="1:20" ht="20.100000000000001" hidden="1" customHeight="1" outlineLevel="1" x14ac:dyDescent="0.2">
      <c r="A260" s="25" t="str">
        <f t="shared" si="95"/>
        <v>K2124015713237</v>
      </c>
      <c r="B260" s="30" t="s">
        <v>472</v>
      </c>
      <c r="C260" s="26" t="s">
        <v>331</v>
      </c>
      <c r="D260" s="30">
        <v>571</v>
      </c>
      <c r="E260" s="30" t="str">
        <f>LEFT(H260,1)</f>
        <v>3</v>
      </c>
      <c r="F260" s="30" t="str">
        <f>LEFT(H260,2)</f>
        <v>32</v>
      </c>
      <c r="G260" s="26" t="str">
        <f t="shared" si="98"/>
        <v>323</v>
      </c>
      <c r="H260" s="86" t="s">
        <v>41</v>
      </c>
      <c r="I260" s="86" t="s">
        <v>43</v>
      </c>
      <c r="J260" s="87" t="e">
        <f>SUMIFS([2]Anl_20250630!$K$6:$K$173,[2]Anl_20250630!$A$6:$A$173,A260)</f>
        <v>#VALUE!</v>
      </c>
      <c r="K260" s="87">
        <f>_xlfn.IFNA(VLOOKUP(T260,[3]Rashodi_2026_RI!$A$18:$Z$10000,14,FALSE),0)</f>
        <v>0</v>
      </c>
      <c r="L260" s="87">
        <f>_xlfn.IFNA(VLOOKUP(T260,[3]Rashodi_2026_RI!$A$18:$Z$10000,15,FALSE),0)</f>
        <v>0</v>
      </c>
      <c r="M260" s="87" t="e">
        <f t="shared" si="93"/>
        <v>#VALUE!</v>
      </c>
      <c r="N260" s="87">
        <f t="shared" si="94"/>
        <v>0</v>
      </c>
      <c r="O260" s="31"/>
      <c r="T260" s="25" t="str">
        <f t="shared" si="89"/>
        <v>K2124015713237</v>
      </c>
    </row>
    <row r="261" spans="1:20" ht="20.100000000000001" hidden="1" customHeight="1" outlineLevel="1" x14ac:dyDescent="0.2">
      <c r="A261" s="25" t="str">
        <f t="shared" si="95"/>
        <v>K2124015714511</v>
      </c>
      <c r="B261" s="30" t="s">
        <v>472</v>
      </c>
      <c r="C261" s="26" t="s">
        <v>331</v>
      </c>
      <c r="D261" s="30">
        <v>571</v>
      </c>
      <c r="E261" s="30" t="str">
        <f>LEFT(H261,1)</f>
        <v>4</v>
      </c>
      <c r="F261" s="30" t="str">
        <f>LEFT(H261,2)</f>
        <v>45</v>
      </c>
      <c r="G261" s="26" t="str">
        <f t="shared" si="98"/>
        <v>451</v>
      </c>
      <c r="H261" s="86" t="s">
        <v>23</v>
      </c>
      <c r="I261" s="86" t="s">
        <v>25</v>
      </c>
      <c r="J261" s="87" t="e">
        <f>SUMIFS([2]Anl_20250630!$K$6:$K$173,[2]Anl_20250630!$A$6:$A$173,A261)</f>
        <v>#VALUE!</v>
      </c>
      <c r="K261" s="87">
        <f>_xlfn.IFNA(VLOOKUP(T261,[3]Rashodi_2026_RI!$A$18:$Z$10000,14,FALSE),0)</f>
        <v>0</v>
      </c>
      <c r="L261" s="87">
        <f>_xlfn.IFNA(VLOOKUP(T261,[3]Rashodi_2026_RI!$A$18:$Z$10000,15,FALSE),0)</f>
        <v>0</v>
      </c>
      <c r="M261" s="87" t="e">
        <f t="shared" si="93"/>
        <v>#VALUE!</v>
      </c>
      <c r="N261" s="87">
        <f t="shared" si="94"/>
        <v>0</v>
      </c>
      <c r="O261" s="31" t="s">
        <v>352</v>
      </c>
      <c r="P261" s="25">
        <v>614</v>
      </c>
      <c r="T261" s="25" t="str">
        <f t="shared" si="89"/>
        <v>K2124015714511</v>
      </c>
    </row>
    <row r="262" spans="1:20" ht="24.95" customHeight="1" collapsed="1" x14ac:dyDescent="0.2">
      <c r="B262" s="30"/>
      <c r="H262" s="230" t="s">
        <v>45</v>
      </c>
      <c r="I262" s="230"/>
      <c r="J262" s="79" t="e">
        <f>SUMIFS(J263:J429,$C263:$C429,"K212401",$D263:$D429,"611")</f>
        <v>#VALUE!</v>
      </c>
      <c r="K262" s="79">
        <f>SUMIFS(K263:K429,$C263:$C429,"K212401",$D263:$D429,"611")</f>
        <v>100000</v>
      </c>
      <c r="L262" s="79">
        <f t="shared" ref="L262" si="102">SUMIFS(L263:L429,$C263:$C429,"K212401",$D263:$D429,"611")</f>
        <v>0</v>
      </c>
      <c r="M262" s="79" t="e">
        <f t="shared" si="93"/>
        <v>#VALUE!</v>
      </c>
      <c r="N262" s="79">
        <f t="shared" si="94"/>
        <v>0</v>
      </c>
      <c r="O262" s="25">
        <f>SUMIFS(O263:O429,$C263:$C429,"K212401",$D263:$D429,"611")</f>
        <v>149</v>
      </c>
      <c r="P262" s="25">
        <f>SUMIFS(P263:P429,$C263:$C429,"K212401",$D263:$D429,"611")</f>
        <v>93892.19</v>
      </c>
    </row>
    <row r="263" spans="1:20" ht="20.100000000000001" hidden="1" customHeight="1" outlineLevel="1" x14ac:dyDescent="0.2">
      <c r="A263" s="25" t="str">
        <f t="shared" si="95"/>
        <v>K2124016114221</v>
      </c>
      <c r="B263" s="30" t="s">
        <v>472</v>
      </c>
      <c r="C263" s="26" t="s">
        <v>331</v>
      </c>
      <c r="D263" s="30">
        <v>611</v>
      </c>
      <c r="E263" s="30" t="str">
        <f>LEFT(H263,1)</f>
        <v>4</v>
      </c>
      <c r="F263" s="30" t="str">
        <f>LEFT(H263,2)</f>
        <v>42</v>
      </c>
      <c r="G263" s="26" t="str">
        <f t="shared" si="98"/>
        <v>422</v>
      </c>
      <c r="H263" s="86" t="s">
        <v>27</v>
      </c>
      <c r="I263" s="86" t="s">
        <v>29</v>
      </c>
      <c r="J263" s="87" t="e">
        <f>SUMIFS([2]Anl_20250630!$K$6:$K$173,[2]Anl_20250630!$A$6:$A$173,A263)</f>
        <v>#VALUE!</v>
      </c>
      <c r="K263" s="87">
        <f>_xlfn.IFNA(VLOOKUP(T263,[3]Rashodi_2026_RI!$A$18:$Z$10000,14,FALSE),0)</f>
        <v>0</v>
      </c>
      <c r="L263" s="87">
        <f>_xlfn.IFNA(VLOOKUP(T263,[3]Rashodi_2026_RI!$A$18:$Z$10000,15,FALSE),0)</f>
        <v>0</v>
      </c>
      <c r="M263" s="87" t="e">
        <f t="shared" si="93"/>
        <v>#VALUE!</v>
      </c>
      <c r="N263" s="87">
        <f t="shared" si="94"/>
        <v>0</v>
      </c>
      <c r="O263" s="31">
        <v>149</v>
      </c>
      <c r="T263" s="25" t="str">
        <f t="shared" si="89"/>
        <v>K2124016114221</v>
      </c>
    </row>
    <row r="264" spans="1:20" ht="20.100000000000001" hidden="1" customHeight="1" outlineLevel="1" x14ac:dyDescent="0.2">
      <c r="A264" s="25" t="str">
        <f t="shared" si="95"/>
        <v>K2124016114241</v>
      </c>
      <c r="B264" s="30" t="s">
        <v>472</v>
      </c>
      <c r="C264" s="26" t="s">
        <v>331</v>
      </c>
      <c r="D264" s="30">
        <v>611</v>
      </c>
      <c r="E264" s="30" t="str">
        <f>LEFT(H264,1)</f>
        <v>4</v>
      </c>
      <c r="F264" s="30" t="str">
        <f>LEFT(H264,2)</f>
        <v>42</v>
      </c>
      <c r="G264" s="26" t="str">
        <f t="shared" si="98"/>
        <v>424</v>
      </c>
      <c r="H264" s="86" t="s">
        <v>17</v>
      </c>
      <c r="I264" s="86" t="s">
        <v>19</v>
      </c>
      <c r="J264" s="87" t="e">
        <f>SUMIFS([2]Anl_20250630!$K$6:$K$173,[2]Anl_20250630!$A$6:$A$173,A264)</f>
        <v>#VALUE!</v>
      </c>
      <c r="K264" s="87">
        <f>_xlfn.IFNA(VLOOKUP(T264,[3]Rashodi_2026_RI!$A$18:$Z$10000,14,FALSE),0)</f>
        <v>100000</v>
      </c>
      <c r="L264" s="87">
        <f>_xlfn.IFNA(VLOOKUP(T264,[3]Rashodi_2026_RI!$A$18:$Z$10000,15,FALSE),0)</f>
        <v>0</v>
      </c>
      <c r="M264" s="87" t="e">
        <f t="shared" si="93"/>
        <v>#VALUE!</v>
      </c>
      <c r="N264" s="87">
        <f t="shared" si="94"/>
        <v>0</v>
      </c>
      <c r="O264" s="31"/>
      <c r="P264" s="25">
        <v>93892.19</v>
      </c>
      <c r="T264" s="25" t="str">
        <f t="shared" si="89"/>
        <v>K2124016114241</v>
      </c>
    </row>
    <row r="265" spans="1:20" ht="24.95" customHeight="1" collapsed="1" thickBot="1" x14ac:dyDescent="0.25">
      <c r="B265" s="30"/>
      <c r="H265" s="230" t="s">
        <v>48</v>
      </c>
      <c r="I265" s="230"/>
      <c r="J265" s="79" t="e">
        <f>SUMIFS(J266:J432,$C266:$C432,"K212401",$D266:$D432,"711")</f>
        <v>#VALUE!</v>
      </c>
      <c r="K265" s="79">
        <f>SUMIFS(K266:K432,$C266:$C432,"K212401",$D266:$D432,"711")</f>
        <v>1300</v>
      </c>
      <c r="L265" s="79">
        <f t="shared" ref="L265" si="103">SUMIFS(L266:L432,$C266:$C432,"K212401",$D266:$D432,"711")</f>
        <v>0</v>
      </c>
      <c r="M265" s="79" t="e">
        <f t="shared" si="93"/>
        <v>#VALUE!</v>
      </c>
      <c r="N265" s="79">
        <f t="shared" si="94"/>
        <v>0</v>
      </c>
    </row>
    <row r="266" spans="1:20" ht="20.100000000000001" hidden="1" customHeight="1" outlineLevel="1" thickBot="1" x14ac:dyDescent="0.25">
      <c r="A266" s="25" t="str">
        <f t="shared" si="95"/>
        <v>K2124017114221</v>
      </c>
      <c r="B266" s="30" t="s">
        <v>472</v>
      </c>
      <c r="C266" s="26" t="s">
        <v>331</v>
      </c>
      <c r="D266" s="30">
        <v>711</v>
      </c>
      <c r="E266" s="30" t="str">
        <f>LEFT(H266,1)</f>
        <v>4</v>
      </c>
      <c r="F266" s="30" t="str">
        <f>LEFT(H266,2)</f>
        <v>42</v>
      </c>
      <c r="G266" s="26" t="str">
        <f t="shared" si="98"/>
        <v>422</v>
      </c>
      <c r="H266" s="86" t="s">
        <v>27</v>
      </c>
      <c r="I266" s="86" t="s">
        <v>29</v>
      </c>
      <c r="J266" s="87" t="e">
        <f>SUMIFS([2]Anl_20250630!$K$6:$K$173,[2]Anl_20250630!$A$6:$A$173,A266)</f>
        <v>#VALUE!</v>
      </c>
      <c r="K266" s="87">
        <f>_xlfn.IFNA(VLOOKUP(T266,[3]Rashodi_2026_RI!$A$18:$Z$10000,14,FALSE),0)</f>
        <v>1300</v>
      </c>
      <c r="L266" s="87">
        <f>_xlfn.IFNA(VLOOKUP(T266,[3]Rashodi_2026_RI!$A$18:$Z$10000,15,FALSE),0)</f>
        <v>0</v>
      </c>
      <c r="M266" s="87" t="e">
        <f t="shared" si="93"/>
        <v>#VALUE!</v>
      </c>
      <c r="N266" s="87">
        <f t="shared" si="94"/>
        <v>0</v>
      </c>
      <c r="O266" s="31"/>
      <c r="T266" s="25" t="str">
        <f t="shared" si="89"/>
        <v>K2124017114221</v>
      </c>
    </row>
    <row r="267" spans="1:20" ht="35.1" customHeight="1" collapsed="1" thickBot="1" x14ac:dyDescent="0.25">
      <c r="H267" s="225" t="s">
        <v>344</v>
      </c>
      <c r="I267" s="225"/>
      <c r="J267" s="82"/>
      <c r="K267" s="82"/>
      <c r="L267" s="82"/>
      <c r="M267" s="82"/>
      <c r="N267" s="82"/>
    </row>
  </sheetData>
  <mergeCells count="42">
    <mergeCell ref="H16:I16"/>
    <mergeCell ref="H1:K1"/>
    <mergeCell ref="H2:N2"/>
    <mergeCell ref="H6:I6"/>
    <mergeCell ref="H7:I7"/>
    <mergeCell ref="H10:I10"/>
    <mergeCell ref="H71:I71"/>
    <mergeCell ref="H19:I19"/>
    <mergeCell ref="H24:I24"/>
    <mergeCell ref="H27:I27"/>
    <mergeCell ref="H31:I31"/>
    <mergeCell ref="H34:I34"/>
    <mergeCell ref="H37:I37"/>
    <mergeCell ref="H39:I39"/>
    <mergeCell ref="H41:I41"/>
    <mergeCell ref="H42:I42"/>
    <mergeCell ref="H43:I43"/>
    <mergeCell ref="H69:I69"/>
    <mergeCell ref="H224:I224"/>
    <mergeCell ref="H99:I99"/>
    <mergeCell ref="H106:I106"/>
    <mergeCell ref="H136:I136"/>
    <mergeCell ref="H142:I142"/>
    <mergeCell ref="H143:I143"/>
    <mergeCell ref="H156:I156"/>
    <mergeCell ref="H169:I169"/>
    <mergeCell ref="H177:I177"/>
    <mergeCell ref="H196:I196"/>
    <mergeCell ref="H206:I206"/>
    <mergeCell ref="H216:I216"/>
    <mergeCell ref="H267:I267"/>
    <mergeCell ref="H225:I225"/>
    <mergeCell ref="H227:I227"/>
    <mergeCell ref="H228:I228"/>
    <mergeCell ref="H231:I231"/>
    <mergeCell ref="H232:I232"/>
    <mergeCell ref="H241:I241"/>
    <mergeCell ref="H250:I250"/>
    <mergeCell ref="H254:I254"/>
    <mergeCell ref="H258:I258"/>
    <mergeCell ref="H262:I262"/>
    <mergeCell ref="H265:I265"/>
  </mergeCells>
  <pageMargins left="0.39370078740157483" right="0.39370078740157483" top="0.59055118110236227" bottom="0.59055118110236227" header="0" footer="0"/>
  <pageSetup paperSize="9" scale="82" orientation="portrait" r:id="rId1"/>
  <headerFooter alignWithMargins="0">
    <oddHeader>&amp;L&amp;"Arial,Bold"&amp;K04-023KNJIŽNICE GRADA ZAGREBA
STARČEVIĆEV TRG 6
OIB: 93571946376</oddHeader>
    <oddFooter xml:space="preserve">&amp;C&amp;8 Stranica 
&amp;"Arial,Bold"&amp;P&amp;"Arial,Regular"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1"/>
  <sheetViews>
    <sheetView showGridLines="0" topLeftCell="G1" zoomScaleNormal="100" workbookViewId="0">
      <pane ySplit="4" topLeftCell="A26" activePane="bottomLeft" state="frozen"/>
      <selection activeCell="G5" sqref="G5"/>
      <selection pane="bottomLeft" activeCell="G5" sqref="G5"/>
    </sheetView>
  </sheetViews>
  <sheetFormatPr defaultColWidth="8.7109375" defaultRowHeight="12.75" outlineLevelRow="1" outlineLevelCol="1" x14ac:dyDescent="0.2"/>
  <cols>
    <col min="1" max="1" width="8.7109375" style="25" hidden="1" customWidth="1" outlineLevel="1"/>
    <col min="2" max="2" width="9.28515625" style="26" hidden="1" customWidth="1" outlineLevel="1"/>
    <col min="3" max="3" width="3.7109375" style="30" hidden="1" customWidth="1" outlineLevel="1"/>
    <col min="4" max="4" width="8.7109375" style="30" hidden="1" customWidth="1" outlineLevel="1"/>
    <col min="5" max="5" width="10.28515625" style="30" hidden="1" customWidth="1" outlineLevel="1"/>
    <col min="6" max="6" width="12.5703125" style="26" hidden="1" customWidth="1" outlineLevel="1"/>
    <col min="7" max="7" width="10.5703125" style="25" customWidth="1" collapsed="1"/>
    <col min="8" max="8" width="45.7109375" style="25" customWidth="1"/>
    <col min="9" max="11" width="13.5703125" style="25" customWidth="1"/>
    <col min="12" max="13" width="10.5703125" style="90" hidden="1" customWidth="1"/>
    <col min="14" max="17" width="13.7109375" style="25" hidden="1" customWidth="1" outlineLevel="1"/>
    <col min="18" max="18" width="13.7109375" style="25" hidden="1" customWidth="1" collapsed="1"/>
    <col min="19" max="19" width="13.5703125" style="25" hidden="1" customWidth="1"/>
    <col min="20" max="21" width="13.5703125" style="25" customWidth="1"/>
    <col min="22" max="22" width="10.85546875" style="25" hidden="1" customWidth="1"/>
    <col min="23" max="23" width="13.140625" style="191" hidden="1" customWidth="1"/>
    <col min="24" max="24" width="8.7109375" style="25" hidden="1" customWidth="1"/>
    <col min="25" max="26" width="13.5703125" style="25" hidden="1" customWidth="1"/>
    <col min="27" max="27" width="11.42578125" style="25" bestFit="1" customWidth="1"/>
    <col min="28" max="29" width="11.42578125" style="25" customWidth="1"/>
    <col min="30" max="31" width="13.5703125" style="25" customWidth="1"/>
    <col min="32" max="32" width="12.5703125" style="90" customWidth="1"/>
    <col min="33" max="33" width="15.5703125" style="25" customWidth="1"/>
    <col min="34" max="16384" width="8.7109375" style="25"/>
  </cols>
  <sheetData>
    <row r="1" spans="1:31" ht="20.100000000000001" customHeight="1" x14ac:dyDescent="0.2">
      <c r="G1" s="217"/>
      <c r="H1" s="217"/>
      <c r="I1" s="217"/>
      <c r="J1" s="217"/>
      <c r="AE1" s="236" t="s">
        <v>570</v>
      </c>
    </row>
    <row r="2" spans="1:31" ht="20.100000000000001" customHeight="1" x14ac:dyDescent="0.2">
      <c r="G2" s="223" t="s">
        <v>462</v>
      </c>
      <c r="H2" s="223"/>
      <c r="I2" s="223"/>
      <c r="J2" s="223"/>
      <c r="K2" s="223"/>
      <c r="L2" s="223"/>
      <c r="M2" s="223"/>
      <c r="U2" s="32"/>
      <c r="Z2" s="32">
        <f>Z3+Z35</f>
        <v>837.68000000051688</v>
      </c>
      <c r="AD2" s="32"/>
      <c r="AE2" s="237"/>
    </row>
    <row r="3" spans="1:31" ht="20.100000000000001" customHeight="1" thickBot="1" x14ac:dyDescent="0.25">
      <c r="K3" s="83"/>
      <c r="L3" s="91"/>
      <c r="M3" s="91"/>
      <c r="S3" s="83"/>
      <c r="T3" s="83"/>
      <c r="U3" s="83"/>
      <c r="Y3" s="83"/>
      <c r="Z3" s="83">
        <v>49837.03</v>
      </c>
      <c r="AD3" s="83"/>
      <c r="AE3" s="238"/>
    </row>
    <row r="4" spans="1:31" ht="35.1" customHeight="1" thickBot="1" x14ac:dyDescent="0.25">
      <c r="G4" s="80" t="s">
        <v>3</v>
      </c>
      <c r="H4" s="80" t="s">
        <v>5</v>
      </c>
      <c r="I4" s="80" t="s">
        <v>461</v>
      </c>
      <c r="J4" s="80" t="s">
        <v>458</v>
      </c>
      <c r="K4" s="80" t="s">
        <v>460</v>
      </c>
      <c r="L4" s="92" t="s">
        <v>470</v>
      </c>
      <c r="M4" s="92" t="s">
        <v>471</v>
      </c>
      <c r="S4" s="80" t="s">
        <v>562</v>
      </c>
      <c r="T4" s="80" t="s">
        <v>556</v>
      </c>
      <c r="U4" s="80" t="s">
        <v>557</v>
      </c>
      <c r="V4" s="80" t="s">
        <v>558</v>
      </c>
      <c r="Y4" s="80" t="s">
        <v>560</v>
      </c>
      <c r="Z4" s="80" t="s">
        <v>561</v>
      </c>
      <c r="AD4" s="80" t="s">
        <v>561</v>
      </c>
      <c r="AE4" s="80"/>
    </row>
    <row r="5" spans="1:31" ht="18" customHeight="1" thickBot="1" x14ac:dyDescent="0.25">
      <c r="G5" s="81">
        <v>1</v>
      </c>
      <c r="H5" s="81">
        <v>2</v>
      </c>
      <c r="I5" s="81">
        <v>3</v>
      </c>
      <c r="J5" s="81">
        <v>4</v>
      </c>
      <c r="K5" s="81">
        <v>5</v>
      </c>
      <c r="L5" s="81">
        <v>6</v>
      </c>
      <c r="M5" s="81">
        <v>7</v>
      </c>
      <c r="S5" s="81">
        <v>5</v>
      </c>
      <c r="T5" s="81">
        <v>8</v>
      </c>
      <c r="U5" s="81">
        <v>9</v>
      </c>
      <c r="V5" s="81">
        <v>10</v>
      </c>
      <c r="Y5" s="81">
        <v>9</v>
      </c>
      <c r="Z5" s="81">
        <v>9</v>
      </c>
      <c r="AD5" s="81">
        <v>9</v>
      </c>
      <c r="AE5" s="81"/>
    </row>
    <row r="6" spans="1:31" ht="35.1" customHeight="1" collapsed="1" thickBot="1" x14ac:dyDescent="0.25">
      <c r="G6" s="225" t="s">
        <v>468</v>
      </c>
      <c r="H6" s="225"/>
      <c r="I6" s="82">
        <f>I7+I10+I16+I19+I22+I26+I29+I31+I33</f>
        <v>18527517.870000001</v>
      </c>
      <c r="J6" s="82">
        <f t="shared" ref="J6:K6" si="0">J7+J10+J16+J19+J22+J26+J29+J31+J33</f>
        <v>23471400</v>
      </c>
      <c r="K6" s="82">
        <f t="shared" si="0"/>
        <v>22821257.859999999</v>
      </c>
      <c r="L6" s="82">
        <f>IF(I6&lt;&gt;0,K6/I6*100,0)</f>
        <v>123.17493373978863</v>
      </c>
      <c r="M6" s="82">
        <f>IF(J6&lt;&gt;0,K6/J6*100,0)</f>
        <v>97.230066634286828</v>
      </c>
      <c r="S6" s="82">
        <f t="shared" ref="S6" si="1">S7+S10+S16+S19+S22+S26+S29+S31+S33</f>
        <v>22821257.859999999</v>
      </c>
      <c r="T6" s="82">
        <f t="shared" ref="T6:U6" si="2">T7+T10+T16+T19+T22+T26+T29+T31+T33</f>
        <v>22821257.859999999</v>
      </c>
      <c r="U6" s="82">
        <f t="shared" si="2"/>
        <v>0</v>
      </c>
      <c r="V6" s="82">
        <v>22821257.859999999</v>
      </c>
      <c r="Y6" s="82">
        <f t="shared" ref="Y6:Z6" si="3">Y7+Y10+Y16+Y19+Y22+Y26+Y29+Y31+Y33</f>
        <v>0</v>
      </c>
      <c r="Z6" s="82">
        <f t="shared" si="3"/>
        <v>0</v>
      </c>
      <c r="AD6" s="82">
        <f t="shared" ref="AD6" si="4">AD7+AD10+AD16+AD19+AD22+AD26+AD29+AD31+AD33</f>
        <v>0</v>
      </c>
      <c r="AE6" s="82"/>
    </row>
    <row r="7" spans="1:31" ht="24.95" customHeight="1" x14ac:dyDescent="0.2">
      <c r="G7" s="230" t="s">
        <v>56</v>
      </c>
      <c r="H7" s="230"/>
      <c r="I7" s="79">
        <f>SUM(I8:I9)</f>
        <v>16078946.33</v>
      </c>
      <c r="J7" s="79">
        <f>SUM(J8:J9)</f>
        <v>20930400</v>
      </c>
      <c r="K7" s="79">
        <f>SUM(K8:K9)</f>
        <v>20104298.509999998</v>
      </c>
      <c r="L7" s="79">
        <f t="shared" ref="L7:L71" si="5">IF(I7&lt;&gt;0,K7/I7*100,0)</f>
        <v>125.0349251585567</v>
      </c>
      <c r="M7" s="79">
        <f t="shared" ref="M7:M71" si="6">IF(J7&lt;&gt;0,K7/J7*100,0)</f>
        <v>96.053102234071005</v>
      </c>
      <c r="S7" s="79">
        <f>SUM(S8:S9)</f>
        <v>20104298.509999998</v>
      </c>
      <c r="T7" s="79">
        <f>SUM(T8:T9)</f>
        <v>20104298.509999998</v>
      </c>
      <c r="U7" s="79">
        <f>SUM(U8:U9)</f>
        <v>0</v>
      </c>
      <c r="V7" s="79">
        <v>20104298.509999998</v>
      </c>
      <c r="W7" s="192"/>
      <c r="Y7" s="79">
        <f>SUM(Y8:Y9)</f>
        <v>0</v>
      </c>
      <c r="Z7" s="79">
        <f>SUM(Z8:Z9)</f>
        <v>0</v>
      </c>
      <c r="AA7" s="25">
        <f>K7/J7*100</f>
        <v>96.053102234071005</v>
      </c>
      <c r="AD7" s="79">
        <f>SUM(AD8:AD9)</f>
        <v>0</v>
      </c>
      <c r="AE7" s="79"/>
    </row>
    <row r="8" spans="1:31" ht="30" customHeight="1" outlineLevel="1" x14ac:dyDescent="0.2">
      <c r="A8" s="30" t="s">
        <v>469</v>
      </c>
      <c r="C8" s="30">
        <v>112</v>
      </c>
      <c r="D8" s="30" t="str">
        <f t="shared" ref="D8:D9" si="7">LEFT(G8,1)</f>
        <v>6</v>
      </c>
      <c r="E8" s="30" t="str">
        <f t="shared" ref="E8:E9" si="8">LEFT(G8,2)</f>
        <v>67</v>
      </c>
      <c r="F8" s="26" t="str">
        <f t="shared" ref="F8:F9" si="9">LEFT(G8,3)</f>
        <v>671</v>
      </c>
      <c r="G8" s="86" t="s">
        <v>464</v>
      </c>
      <c r="H8" s="86" t="s">
        <v>466</v>
      </c>
      <c r="I8" s="87">
        <v>14935546.33</v>
      </c>
      <c r="J8" s="87">
        <v>18813200</v>
      </c>
      <c r="K8" s="87">
        <v>18783466.699999999</v>
      </c>
      <c r="L8" s="87">
        <f t="shared" si="5"/>
        <v>125.76350596744457</v>
      </c>
      <c r="M8" s="87">
        <f t="shared" si="6"/>
        <v>99.841955116620241</v>
      </c>
      <c r="N8" s="31"/>
      <c r="S8" s="87">
        <v>18783466.699999999</v>
      </c>
      <c r="T8" s="87">
        <v>18783466.699999999</v>
      </c>
      <c r="U8" s="87">
        <f>K8-T8</f>
        <v>0</v>
      </c>
      <c r="V8" s="87">
        <v>18783466.699999999</v>
      </c>
      <c r="Y8" s="87">
        <f>O8-X8</f>
        <v>0</v>
      </c>
      <c r="Z8" s="87">
        <f>P8-Y8</f>
        <v>0</v>
      </c>
      <c r="AD8" s="87">
        <f>R8-AA8</f>
        <v>0</v>
      </c>
      <c r="AE8" s="87"/>
    </row>
    <row r="9" spans="1:31" ht="30" customHeight="1" outlineLevel="1" x14ac:dyDescent="0.2">
      <c r="A9" s="30" t="s">
        <v>469</v>
      </c>
      <c r="C9" s="30">
        <v>112</v>
      </c>
      <c r="D9" s="30" t="str">
        <f t="shared" si="7"/>
        <v>6</v>
      </c>
      <c r="E9" s="30" t="str">
        <f t="shared" si="8"/>
        <v>67</v>
      </c>
      <c r="F9" s="26" t="str">
        <f t="shared" si="9"/>
        <v>671</v>
      </c>
      <c r="G9" s="86" t="s">
        <v>465</v>
      </c>
      <c r="H9" s="86" t="s">
        <v>467</v>
      </c>
      <c r="I9" s="87">
        <v>1143400</v>
      </c>
      <c r="J9" s="87">
        <v>2117200</v>
      </c>
      <c r="K9" s="87">
        <v>1320831.81</v>
      </c>
      <c r="L9" s="87">
        <f t="shared" si="5"/>
        <v>115.51791236662585</v>
      </c>
      <c r="M9" s="87">
        <f t="shared" si="6"/>
        <v>62.385783582089559</v>
      </c>
      <c r="N9" s="31"/>
      <c r="S9" s="87">
        <v>1320831.81</v>
      </c>
      <c r="T9" s="87">
        <v>1320831.81</v>
      </c>
      <c r="U9" s="87">
        <f>K9-T9</f>
        <v>0</v>
      </c>
      <c r="V9" s="87">
        <v>1320831.81</v>
      </c>
      <c r="Y9" s="87">
        <f>O9-X9</f>
        <v>0</v>
      </c>
      <c r="Z9" s="87">
        <f>P9-Y9</f>
        <v>0</v>
      </c>
      <c r="AD9" s="87">
        <f>R9-AA9</f>
        <v>0</v>
      </c>
      <c r="AE9" s="87"/>
    </row>
    <row r="10" spans="1:31" ht="24.95" customHeight="1" x14ac:dyDescent="0.2">
      <c r="A10" s="30"/>
      <c r="G10" s="230" t="s">
        <v>125</v>
      </c>
      <c r="H10" s="230"/>
      <c r="I10" s="79">
        <f>SUM(I11:I15)</f>
        <v>18794.580000000002</v>
      </c>
      <c r="J10" s="79">
        <f>SUM(J11:J15)</f>
        <v>18300</v>
      </c>
      <c r="K10" s="79">
        <f>SUM(K11:K15)</f>
        <v>19485.550000000003</v>
      </c>
      <c r="L10" s="79">
        <f t="shared" si="5"/>
        <v>103.67643224802046</v>
      </c>
      <c r="M10" s="79">
        <f t="shared" si="6"/>
        <v>106.47841530054647</v>
      </c>
      <c r="S10" s="79">
        <f>SUM(S11:S15)</f>
        <v>19485.550000000003</v>
      </c>
      <c r="T10" s="79">
        <f>SUM(T11:T15)</f>
        <v>19485.550000000003</v>
      </c>
      <c r="U10" s="79">
        <f>SUM(U11:U15)</f>
        <v>0</v>
      </c>
      <c r="V10" s="79">
        <v>19478.43</v>
      </c>
      <c r="Y10" s="79">
        <f>SUM(Y11:Y15)</f>
        <v>0</v>
      </c>
      <c r="Z10" s="79">
        <f>SUM(Z11:Z15)</f>
        <v>0</v>
      </c>
      <c r="AD10" s="79">
        <f>SUM(AD11:AD15)</f>
        <v>0</v>
      </c>
      <c r="AE10" s="79"/>
    </row>
    <row r="11" spans="1:31" ht="20.100000000000001" customHeight="1" outlineLevel="1" x14ac:dyDescent="0.2">
      <c r="A11" s="30" t="s">
        <v>469</v>
      </c>
      <c r="C11" s="30">
        <v>311</v>
      </c>
      <c r="D11" s="30" t="str">
        <f t="shared" ref="D11:D15" si="10">LEFT(G11,1)</f>
        <v>6</v>
      </c>
      <c r="E11" s="30" t="str">
        <f t="shared" ref="E11:E15" si="11">LEFT(G11,2)</f>
        <v>64</v>
      </c>
      <c r="F11" s="26" t="str">
        <f t="shared" ref="F11:F15" si="12">LEFT(G11,3)</f>
        <v>641</v>
      </c>
      <c r="G11" s="86" t="s">
        <v>280</v>
      </c>
      <c r="H11" s="86" t="s">
        <v>282</v>
      </c>
      <c r="I11" s="87">
        <v>0</v>
      </c>
      <c r="J11" s="87">
        <v>100</v>
      </c>
      <c r="K11" s="87">
        <v>7.12</v>
      </c>
      <c r="L11" s="87">
        <f t="shared" si="5"/>
        <v>0</v>
      </c>
      <c r="M11" s="87">
        <f t="shared" si="6"/>
        <v>7.12</v>
      </c>
      <c r="N11" s="31"/>
      <c r="S11" s="87">
        <v>7.12</v>
      </c>
      <c r="T11" s="87">
        <v>7.12</v>
      </c>
      <c r="U11" s="87">
        <f t="shared" ref="U11:U15" si="13">K11-T11</f>
        <v>0</v>
      </c>
      <c r="V11" s="87"/>
      <c r="Y11" s="87">
        <f t="shared" ref="Y11:Z15" si="14">O11-X11</f>
        <v>0</v>
      </c>
      <c r="Z11" s="87">
        <f t="shared" si="14"/>
        <v>0</v>
      </c>
      <c r="AD11" s="87">
        <f>R11-AA11</f>
        <v>0</v>
      </c>
      <c r="AE11" s="87"/>
    </row>
    <row r="12" spans="1:31" ht="30" customHeight="1" outlineLevel="1" x14ac:dyDescent="0.2">
      <c r="A12" s="30" t="s">
        <v>469</v>
      </c>
      <c r="C12" s="30">
        <v>311</v>
      </c>
      <c r="D12" s="30" t="str">
        <f t="shared" si="10"/>
        <v>6</v>
      </c>
      <c r="E12" s="30" t="str">
        <f t="shared" si="11"/>
        <v>64</v>
      </c>
      <c r="F12" s="26" t="str">
        <f t="shared" si="12"/>
        <v>641</v>
      </c>
      <c r="G12" s="86" t="s">
        <v>283</v>
      </c>
      <c r="H12" s="86" t="s">
        <v>285</v>
      </c>
      <c r="I12" s="87">
        <f>VLOOKUP(G12,'Posebni dio-programska_2024'!A$20:D$24,4,FALSE)</f>
        <v>0</v>
      </c>
      <c r="J12" s="87">
        <v>100</v>
      </c>
      <c r="K12" s="87">
        <v>0</v>
      </c>
      <c r="L12" s="87">
        <f t="shared" si="5"/>
        <v>0</v>
      </c>
      <c r="M12" s="87">
        <f t="shared" si="6"/>
        <v>0</v>
      </c>
      <c r="N12" s="31"/>
      <c r="S12" s="87">
        <v>0</v>
      </c>
      <c r="T12" s="87">
        <v>0</v>
      </c>
      <c r="U12" s="87">
        <f t="shared" si="13"/>
        <v>0</v>
      </c>
      <c r="V12" s="87"/>
      <c r="Y12" s="87">
        <f t="shared" si="14"/>
        <v>0</v>
      </c>
      <c r="Z12" s="87">
        <f t="shared" si="14"/>
        <v>0</v>
      </c>
      <c r="AD12" s="87">
        <f>R12-AA12</f>
        <v>0</v>
      </c>
      <c r="AE12" s="87"/>
    </row>
    <row r="13" spans="1:31" ht="20.100000000000001" customHeight="1" outlineLevel="1" x14ac:dyDescent="0.2">
      <c r="A13" s="30" t="s">
        <v>469</v>
      </c>
      <c r="C13" s="30">
        <v>311</v>
      </c>
      <c r="D13" s="30" t="str">
        <f t="shared" si="10"/>
        <v>6</v>
      </c>
      <c r="E13" s="30" t="str">
        <f t="shared" si="11"/>
        <v>64</v>
      </c>
      <c r="F13" s="26" t="str">
        <f t="shared" si="12"/>
        <v>641</v>
      </c>
      <c r="G13" s="86" t="s">
        <v>286</v>
      </c>
      <c r="H13" s="86" t="s">
        <v>288</v>
      </c>
      <c r="I13" s="87">
        <f>VLOOKUP(G13,'Posebni dio-programska_2024'!A$20:D$24,4,FALSE)</f>
        <v>9576</v>
      </c>
      <c r="J13" s="87">
        <v>9600</v>
      </c>
      <c r="K13" s="87">
        <v>9576</v>
      </c>
      <c r="L13" s="87">
        <f t="shared" si="5"/>
        <v>100</v>
      </c>
      <c r="M13" s="87">
        <f t="shared" si="6"/>
        <v>99.75</v>
      </c>
      <c r="N13" s="31"/>
      <c r="S13" s="87">
        <v>9576</v>
      </c>
      <c r="T13" s="87">
        <v>9576</v>
      </c>
      <c r="U13" s="87">
        <f t="shared" si="13"/>
        <v>0</v>
      </c>
      <c r="V13" s="87"/>
      <c r="Y13" s="87">
        <f t="shared" si="14"/>
        <v>0</v>
      </c>
      <c r="Z13" s="87">
        <f t="shared" si="14"/>
        <v>0</v>
      </c>
      <c r="AD13" s="87">
        <f>R13-AA13</f>
        <v>0</v>
      </c>
      <c r="AE13" s="87"/>
    </row>
    <row r="14" spans="1:31" ht="20.100000000000001" customHeight="1" outlineLevel="1" x14ac:dyDescent="0.2">
      <c r="A14" s="30" t="s">
        <v>469</v>
      </c>
      <c r="C14" s="30">
        <v>311</v>
      </c>
      <c r="D14" s="30" t="str">
        <f t="shared" si="10"/>
        <v>6</v>
      </c>
      <c r="E14" s="30" t="str">
        <f t="shared" si="11"/>
        <v>66</v>
      </c>
      <c r="F14" s="26" t="str">
        <f t="shared" si="12"/>
        <v>661</v>
      </c>
      <c r="G14" s="86" t="s">
        <v>289</v>
      </c>
      <c r="H14" s="86" t="s">
        <v>291</v>
      </c>
      <c r="I14" s="87">
        <v>8918.58</v>
      </c>
      <c r="J14" s="87">
        <v>8500</v>
      </c>
      <c r="K14" s="87">
        <v>8414.93</v>
      </c>
      <c r="L14" s="87">
        <f t="shared" si="5"/>
        <v>94.352800557936362</v>
      </c>
      <c r="M14" s="87">
        <f t="shared" si="6"/>
        <v>98.999176470588239</v>
      </c>
      <c r="N14" s="31"/>
      <c r="S14" s="87">
        <v>8414.93</v>
      </c>
      <c r="T14" s="87">
        <v>8414.93</v>
      </c>
      <c r="U14" s="87">
        <f t="shared" si="13"/>
        <v>0</v>
      </c>
      <c r="V14" s="87">
        <v>19478.43</v>
      </c>
      <c r="Y14" s="87">
        <f t="shared" si="14"/>
        <v>0</v>
      </c>
      <c r="Z14" s="87">
        <f t="shared" si="14"/>
        <v>0</v>
      </c>
      <c r="AD14" s="87">
        <f>R14-AA14</f>
        <v>0</v>
      </c>
      <c r="AE14" s="87"/>
    </row>
    <row r="15" spans="1:31" ht="20.100000000000001" customHeight="1" outlineLevel="1" x14ac:dyDescent="0.2">
      <c r="A15" s="30" t="s">
        <v>469</v>
      </c>
      <c r="C15" s="30">
        <v>311</v>
      </c>
      <c r="D15" s="30" t="str">
        <f t="shared" si="10"/>
        <v>6</v>
      </c>
      <c r="E15" s="30" t="str">
        <f t="shared" si="11"/>
        <v>68</v>
      </c>
      <c r="F15" s="26" t="str">
        <f t="shared" si="12"/>
        <v>683</v>
      </c>
      <c r="G15" s="86" t="s">
        <v>292</v>
      </c>
      <c r="H15" s="86" t="s">
        <v>294</v>
      </c>
      <c r="I15" s="87">
        <v>300</v>
      </c>
      <c r="J15" s="87">
        <v>0</v>
      </c>
      <c r="K15" s="87">
        <v>1487.5</v>
      </c>
      <c r="L15" s="87">
        <f t="shared" si="5"/>
        <v>495.83333333333331</v>
      </c>
      <c r="M15" s="87">
        <f t="shared" si="6"/>
        <v>0</v>
      </c>
      <c r="N15" s="31"/>
      <c r="S15" s="87">
        <v>1487.5</v>
      </c>
      <c r="T15" s="87">
        <v>1487.5</v>
      </c>
      <c r="U15" s="87">
        <f t="shared" si="13"/>
        <v>0</v>
      </c>
      <c r="V15" s="87"/>
      <c r="Y15" s="87">
        <f t="shared" si="14"/>
        <v>0</v>
      </c>
      <c r="Z15" s="87">
        <f t="shared" si="14"/>
        <v>0</v>
      </c>
      <c r="AD15" s="87">
        <f>R15-AA15</f>
        <v>0</v>
      </c>
      <c r="AE15" s="87"/>
    </row>
    <row r="16" spans="1:31" ht="24.95" customHeight="1" x14ac:dyDescent="0.2">
      <c r="A16" s="30"/>
      <c r="G16" s="230" t="s">
        <v>129</v>
      </c>
      <c r="H16" s="230"/>
      <c r="I16" s="79">
        <f>SUM(I17:I18)</f>
        <v>1007068.96</v>
      </c>
      <c r="J16" s="79">
        <f>SUM(J17:J18)</f>
        <v>1077100</v>
      </c>
      <c r="K16" s="79">
        <f>SUM(K17:K18)</f>
        <v>991444.93</v>
      </c>
      <c r="L16" s="79">
        <f t="shared" si="5"/>
        <v>98.448564038752622</v>
      </c>
      <c r="M16" s="79">
        <f t="shared" si="6"/>
        <v>92.047621390771511</v>
      </c>
      <c r="S16" s="79">
        <f>SUM(S17:S18)</f>
        <v>991444.93</v>
      </c>
      <c r="T16" s="79">
        <f>SUM(T17:T18)</f>
        <v>991444.93</v>
      </c>
      <c r="U16" s="79">
        <f>SUM(U17:U18)</f>
        <v>0</v>
      </c>
      <c r="V16" s="79">
        <v>991452.05</v>
      </c>
      <c r="Y16" s="79">
        <f>SUM(Y17:Y18)</f>
        <v>0</v>
      </c>
      <c r="Z16" s="79">
        <f>SUM(Z17:Z18)</f>
        <v>0</v>
      </c>
      <c r="AD16" s="79">
        <f>SUM(AD17:AD18)</f>
        <v>0</v>
      </c>
      <c r="AE16" s="79"/>
    </row>
    <row r="17" spans="1:31" ht="20.100000000000001" customHeight="1" outlineLevel="1" x14ac:dyDescent="0.2">
      <c r="A17" s="30" t="s">
        <v>469</v>
      </c>
      <c r="C17" s="30">
        <v>431</v>
      </c>
      <c r="D17" s="30" t="str">
        <f t="shared" ref="D17:D18" si="15">LEFT(G17,1)</f>
        <v>6</v>
      </c>
      <c r="E17" s="30" t="str">
        <f t="shared" ref="E17:E18" si="16">LEFT(G17,2)</f>
        <v>65</v>
      </c>
      <c r="F17" s="26" t="str">
        <f t="shared" ref="F17:F18" si="17">LEFT(G17,3)</f>
        <v>652</v>
      </c>
      <c r="G17" s="86" t="s">
        <v>295</v>
      </c>
      <c r="H17" s="86" t="s">
        <v>297</v>
      </c>
      <c r="I17" s="87">
        <v>1007068.96</v>
      </c>
      <c r="J17" s="87">
        <v>1077100</v>
      </c>
      <c r="K17" s="87">
        <v>991444.93</v>
      </c>
      <c r="L17" s="87">
        <f t="shared" si="5"/>
        <v>98.448564038752622</v>
      </c>
      <c r="M17" s="87">
        <f t="shared" si="6"/>
        <v>92.047621390771511</v>
      </c>
      <c r="N17" s="31"/>
      <c r="S17" s="87">
        <v>991444.93</v>
      </c>
      <c r="T17" s="87">
        <v>991444.93</v>
      </c>
      <c r="U17" s="87">
        <f t="shared" ref="U17:U18" si="18">K17-T17</f>
        <v>0</v>
      </c>
      <c r="V17" s="87">
        <v>991452.05</v>
      </c>
      <c r="Y17" s="87">
        <f>O17-X17</f>
        <v>0</v>
      </c>
      <c r="Z17" s="87">
        <f>P17-Y17</f>
        <v>0</v>
      </c>
      <c r="AD17" s="87">
        <f>R17-AA17</f>
        <v>0</v>
      </c>
      <c r="AE17" s="87"/>
    </row>
    <row r="18" spans="1:31" ht="20.100000000000001" customHeight="1" outlineLevel="1" x14ac:dyDescent="0.2">
      <c r="A18" s="30" t="s">
        <v>469</v>
      </c>
      <c r="C18" s="30">
        <v>431</v>
      </c>
      <c r="D18" s="30" t="str">
        <f t="shared" si="15"/>
        <v>9</v>
      </c>
      <c r="E18" s="30" t="str">
        <f t="shared" si="16"/>
        <v>92</v>
      </c>
      <c r="F18" s="26" t="str">
        <f t="shared" si="17"/>
        <v>922</v>
      </c>
      <c r="G18" s="86" t="s">
        <v>298</v>
      </c>
      <c r="H18" s="86" t="s">
        <v>300</v>
      </c>
      <c r="I18" s="87"/>
      <c r="J18" s="87">
        <v>0</v>
      </c>
      <c r="K18" s="87">
        <v>0</v>
      </c>
      <c r="L18" s="87">
        <f t="shared" si="5"/>
        <v>0</v>
      </c>
      <c r="M18" s="87">
        <f t="shared" si="6"/>
        <v>0</v>
      </c>
      <c r="N18" s="31"/>
      <c r="S18" s="87">
        <v>0</v>
      </c>
      <c r="T18" s="87">
        <v>0</v>
      </c>
      <c r="U18" s="87">
        <f t="shared" si="18"/>
        <v>0</v>
      </c>
      <c r="V18" s="87"/>
      <c r="Y18" s="87">
        <f>O18-X18</f>
        <v>0</v>
      </c>
      <c r="Z18" s="87">
        <f>P18-Y18</f>
        <v>0</v>
      </c>
      <c r="AD18" s="87">
        <f>R18-AA18</f>
        <v>0</v>
      </c>
      <c r="AE18" s="87"/>
    </row>
    <row r="19" spans="1:31" ht="24.95" customHeight="1" x14ac:dyDescent="0.2">
      <c r="A19" s="30"/>
      <c r="G19" s="230" t="s">
        <v>26</v>
      </c>
      <c r="H19" s="230"/>
      <c r="I19" s="79">
        <f t="shared" ref="I19:K19" si="19">SUM(I20:I21)</f>
        <v>1280996.07</v>
      </c>
      <c r="J19" s="79">
        <f t="shared" si="19"/>
        <v>1311600</v>
      </c>
      <c r="K19" s="79">
        <f t="shared" si="19"/>
        <v>1603143.24</v>
      </c>
      <c r="L19" s="79">
        <f t="shared" si="5"/>
        <v>125.14817785506554</v>
      </c>
      <c r="M19" s="79">
        <f t="shared" si="6"/>
        <v>122.2280603842635</v>
      </c>
      <c r="S19" s="79">
        <f t="shared" ref="S19" si="20">SUM(S20:S21)</f>
        <v>1603143.24</v>
      </c>
      <c r="T19" s="79">
        <f t="shared" ref="T19:U19" si="21">SUM(T20:T21)</f>
        <v>1603143.24</v>
      </c>
      <c r="U19" s="79">
        <f t="shared" si="21"/>
        <v>0</v>
      </c>
      <c r="V19" s="79">
        <v>1603143.24</v>
      </c>
      <c r="Y19" s="79">
        <f t="shared" ref="Y19:Z19" si="22">SUM(Y20:Y21)</f>
        <v>0</v>
      </c>
      <c r="Z19" s="79">
        <f t="shared" si="22"/>
        <v>0</v>
      </c>
      <c r="AD19" s="79">
        <f t="shared" ref="AD19" si="23">SUM(AD20:AD21)</f>
        <v>0</v>
      </c>
      <c r="AE19" s="79"/>
    </row>
    <row r="20" spans="1:31" ht="30" customHeight="1" outlineLevel="1" x14ac:dyDescent="0.2">
      <c r="A20" s="30" t="s">
        <v>469</v>
      </c>
      <c r="C20" s="30">
        <v>521</v>
      </c>
      <c r="D20" s="30" t="str">
        <f t="shared" ref="D20:D21" si="24">LEFT(G20,1)</f>
        <v>6</v>
      </c>
      <c r="E20" s="30" t="str">
        <f t="shared" ref="E20:E21" si="25">LEFT(G20,2)</f>
        <v>63</v>
      </c>
      <c r="F20" s="26" t="str">
        <f t="shared" ref="F20:F21" si="26">LEFT(G20,3)</f>
        <v>636</v>
      </c>
      <c r="G20" s="86" t="s">
        <v>301</v>
      </c>
      <c r="H20" s="86" t="s">
        <v>303</v>
      </c>
      <c r="I20" s="87">
        <v>730309.56</v>
      </c>
      <c r="J20" s="87">
        <v>763100</v>
      </c>
      <c r="K20" s="87">
        <v>908370.29</v>
      </c>
      <c r="L20" s="87">
        <f t="shared" si="5"/>
        <v>124.38154171225693</v>
      </c>
      <c r="M20" s="87">
        <f t="shared" si="6"/>
        <v>119.03686148604378</v>
      </c>
      <c r="N20" s="31"/>
      <c r="S20" s="87">
        <v>908370.29</v>
      </c>
      <c r="T20" s="87">
        <v>908370.29</v>
      </c>
      <c r="U20" s="87">
        <f t="shared" ref="U20:U21" si="27">K20-T20</f>
        <v>0</v>
      </c>
      <c r="V20" s="87">
        <v>941143.24</v>
      </c>
      <c r="Y20" s="87">
        <f>O20-X20</f>
        <v>0</v>
      </c>
      <c r="Z20" s="87">
        <f>P20-Y20</f>
        <v>0</v>
      </c>
      <c r="AD20" s="87">
        <f>R20-AA20</f>
        <v>0</v>
      </c>
      <c r="AE20" s="87"/>
    </row>
    <row r="21" spans="1:31" ht="30" customHeight="1" outlineLevel="1" x14ac:dyDescent="0.2">
      <c r="A21" s="30" t="s">
        <v>469</v>
      </c>
      <c r="C21" s="30">
        <v>521</v>
      </c>
      <c r="D21" s="30" t="str">
        <f t="shared" si="24"/>
        <v>6</v>
      </c>
      <c r="E21" s="30" t="str">
        <f t="shared" si="25"/>
        <v>63</v>
      </c>
      <c r="F21" s="26" t="str">
        <f t="shared" si="26"/>
        <v>636</v>
      </c>
      <c r="G21" s="86" t="s">
        <v>304</v>
      </c>
      <c r="H21" s="86" t="s">
        <v>306</v>
      </c>
      <c r="I21" s="87">
        <v>550686.51</v>
      </c>
      <c r="J21" s="87">
        <v>548500</v>
      </c>
      <c r="K21" s="87">
        <v>694772.95</v>
      </c>
      <c r="L21" s="87">
        <f t="shared" si="5"/>
        <v>126.16487554779579</v>
      </c>
      <c r="M21" s="87">
        <f t="shared" si="6"/>
        <v>126.66781221513217</v>
      </c>
      <c r="N21" s="31"/>
      <c r="S21" s="87">
        <v>694772.95</v>
      </c>
      <c r="T21" s="87">
        <v>694772.95</v>
      </c>
      <c r="U21" s="87">
        <f t="shared" si="27"/>
        <v>0</v>
      </c>
      <c r="V21" s="87">
        <v>662000</v>
      </c>
      <c r="Y21" s="87">
        <f>O21-X21</f>
        <v>0</v>
      </c>
      <c r="Z21" s="87">
        <f>P21-Y21</f>
        <v>0</v>
      </c>
      <c r="AD21" s="87">
        <f>R21-AA21</f>
        <v>0</v>
      </c>
      <c r="AE21" s="87"/>
    </row>
    <row r="22" spans="1:31" ht="24.95" customHeight="1" x14ac:dyDescent="0.2">
      <c r="A22" s="30"/>
      <c r="G22" s="230" t="s">
        <v>34</v>
      </c>
      <c r="H22" s="230"/>
      <c r="I22" s="79">
        <f>SUM(I23:I25)</f>
        <v>3816.96</v>
      </c>
      <c r="J22" s="79">
        <f>SUM(J23:J25)</f>
        <v>4700</v>
      </c>
      <c r="K22" s="79">
        <f>SUM(K23:K25)</f>
        <v>8500</v>
      </c>
      <c r="L22" s="79">
        <f t="shared" si="5"/>
        <v>222.6903085177733</v>
      </c>
      <c r="M22" s="79">
        <f t="shared" si="6"/>
        <v>180.85106382978725</v>
      </c>
      <c r="S22" s="79">
        <f>SUM(S23:S25)</f>
        <v>8500</v>
      </c>
      <c r="T22" s="79">
        <f>SUM(T23:T25)</f>
        <v>8500</v>
      </c>
      <c r="U22" s="79">
        <f>SUM(U23:U25)</f>
        <v>0</v>
      </c>
      <c r="V22" s="79">
        <v>8500</v>
      </c>
      <c r="Y22" s="79">
        <f>SUM(Y23:Y25)</f>
        <v>0</v>
      </c>
      <c r="Z22" s="79">
        <f>SUM(Z23:Z25)</f>
        <v>0</v>
      </c>
      <c r="AD22" s="79">
        <f>SUM(AD23:AD25)</f>
        <v>0</v>
      </c>
      <c r="AE22" s="79"/>
    </row>
    <row r="23" spans="1:31" ht="20.100000000000001" customHeight="1" outlineLevel="1" x14ac:dyDescent="0.2">
      <c r="A23" s="30" t="s">
        <v>469</v>
      </c>
      <c r="C23" s="30">
        <v>541</v>
      </c>
      <c r="D23" s="30" t="str">
        <f t="shared" ref="D23:D25" si="28">LEFT(G23,1)</f>
        <v>6</v>
      </c>
      <c r="E23" s="30" t="str">
        <f t="shared" ref="E23:E25" si="29">LEFT(G23,2)</f>
        <v>63</v>
      </c>
      <c r="F23" s="26" t="str">
        <f t="shared" ref="F23:F25" si="30">LEFT(G23,3)</f>
        <v>632</v>
      </c>
      <c r="G23" s="86" t="s">
        <v>307</v>
      </c>
      <c r="H23" s="86" t="s">
        <v>309</v>
      </c>
      <c r="I23" s="87">
        <v>3816.96</v>
      </c>
      <c r="J23" s="87">
        <v>1200</v>
      </c>
      <c r="K23" s="87">
        <v>8500</v>
      </c>
      <c r="L23" s="87">
        <f t="shared" si="5"/>
        <v>222.6903085177733</v>
      </c>
      <c r="M23" s="87">
        <f t="shared" si="6"/>
        <v>708.33333333333326</v>
      </c>
      <c r="N23" s="31"/>
      <c r="S23" s="87">
        <v>8500</v>
      </c>
      <c r="T23" s="87">
        <v>8500</v>
      </c>
      <c r="U23" s="87">
        <f t="shared" ref="U23:U25" si="31">K23-T23</f>
        <v>0</v>
      </c>
      <c r="V23" s="87">
        <v>8500</v>
      </c>
      <c r="Y23" s="87">
        <f t="shared" ref="Y23:Z25" si="32">O23-X23</f>
        <v>0</v>
      </c>
      <c r="Z23" s="87">
        <f t="shared" si="32"/>
        <v>0</v>
      </c>
      <c r="AD23" s="87">
        <f>R23-AA23</f>
        <v>0</v>
      </c>
      <c r="AE23" s="87"/>
    </row>
    <row r="24" spans="1:31" ht="20.100000000000001" customHeight="1" outlineLevel="1" x14ac:dyDescent="0.2">
      <c r="A24" s="30" t="s">
        <v>469</v>
      </c>
      <c r="C24" s="30">
        <v>541</v>
      </c>
      <c r="D24" s="30" t="str">
        <f t="shared" si="28"/>
        <v>6</v>
      </c>
      <c r="E24" s="30" t="str">
        <f t="shared" si="29"/>
        <v>63</v>
      </c>
      <c r="F24" s="26" t="str">
        <f t="shared" si="30"/>
        <v>632</v>
      </c>
      <c r="G24" s="86" t="s">
        <v>310</v>
      </c>
      <c r="H24" s="86" t="s">
        <v>312</v>
      </c>
      <c r="I24" s="87">
        <v>0</v>
      </c>
      <c r="J24" s="87">
        <v>1500</v>
      </c>
      <c r="K24" s="87"/>
      <c r="L24" s="87">
        <f t="shared" si="5"/>
        <v>0</v>
      </c>
      <c r="M24" s="87">
        <f t="shared" si="6"/>
        <v>0</v>
      </c>
      <c r="N24" s="31"/>
      <c r="S24" s="87"/>
      <c r="T24" s="87">
        <v>0</v>
      </c>
      <c r="U24" s="87">
        <f t="shared" si="31"/>
        <v>0</v>
      </c>
      <c r="V24" s="87"/>
      <c r="Y24" s="87">
        <f t="shared" si="32"/>
        <v>0</v>
      </c>
      <c r="Z24" s="87">
        <f t="shared" si="32"/>
        <v>0</v>
      </c>
      <c r="AD24" s="87">
        <f>R24-AA24</f>
        <v>0</v>
      </c>
      <c r="AE24" s="87"/>
    </row>
    <row r="25" spans="1:31" ht="20.100000000000001" customHeight="1" outlineLevel="1" x14ac:dyDescent="0.2">
      <c r="A25" s="30" t="s">
        <v>469</v>
      </c>
      <c r="C25" s="30">
        <v>541</v>
      </c>
      <c r="D25" s="30" t="str">
        <f t="shared" si="28"/>
        <v>9</v>
      </c>
      <c r="E25" s="30" t="str">
        <f t="shared" si="29"/>
        <v>92</v>
      </c>
      <c r="F25" s="26" t="str">
        <f t="shared" si="30"/>
        <v>922</v>
      </c>
      <c r="G25" s="86" t="s">
        <v>298</v>
      </c>
      <c r="H25" s="86" t="s">
        <v>300</v>
      </c>
      <c r="I25" s="87">
        <v>0</v>
      </c>
      <c r="J25" s="87">
        <v>2000</v>
      </c>
      <c r="K25" s="87"/>
      <c r="L25" s="87">
        <f t="shared" si="5"/>
        <v>0</v>
      </c>
      <c r="M25" s="87">
        <f t="shared" si="6"/>
        <v>0</v>
      </c>
      <c r="N25" s="31"/>
      <c r="S25" s="87"/>
      <c r="T25" s="87">
        <v>0</v>
      </c>
      <c r="U25" s="87">
        <f t="shared" si="31"/>
        <v>0</v>
      </c>
      <c r="V25" s="87"/>
      <c r="Y25" s="87">
        <f t="shared" si="32"/>
        <v>0</v>
      </c>
      <c r="Z25" s="87">
        <f t="shared" si="32"/>
        <v>0</v>
      </c>
      <c r="AD25" s="87">
        <f>R25-AA25</f>
        <v>0</v>
      </c>
      <c r="AE25" s="87"/>
    </row>
    <row r="26" spans="1:31" ht="24.95" customHeight="1" x14ac:dyDescent="0.2">
      <c r="A26" s="30"/>
      <c r="G26" s="230" t="s">
        <v>201</v>
      </c>
      <c r="H26" s="230"/>
      <c r="I26" s="79">
        <f>SUM(I27:I28)</f>
        <v>32739</v>
      </c>
      <c r="J26" s="79">
        <f t="shared" ref="J26:K26" si="33">SUM(J27:J28)</f>
        <v>28000</v>
      </c>
      <c r="K26" s="79">
        <f t="shared" si="33"/>
        <v>344.44</v>
      </c>
      <c r="L26" s="79">
        <f t="shared" si="5"/>
        <v>1.0520785607379579</v>
      </c>
      <c r="M26" s="79">
        <f t="shared" si="6"/>
        <v>1.230142857142857</v>
      </c>
      <c r="S26" s="79">
        <f t="shared" ref="S26" si="34">SUM(S27:S28)</f>
        <v>344.44</v>
      </c>
      <c r="T26" s="79">
        <f t="shared" ref="T26:U26" si="35">SUM(T27:T28)</f>
        <v>344.44</v>
      </c>
      <c r="U26" s="79">
        <f t="shared" si="35"/>
        <v>0</v>
      </c>
      <c r="V26" s="79">
        <v>344.44</v>
      </c>
      <c r="Y26" s="79">
        <f t="shared" ref="Y26:Z26" si="36">SUM(Y27:Y28)</f>
        <v>0</v>
      </c>
      <c r="Z26" s="79">
        <f t="shared" si="36"/>
        <v>0</v>
      </c>
      <c r="AD26" s="79">
        <f t="shared" ref="AD26" si="37">SUM(AD27:AD28)</f>
        <v>0</v>
      </c>
      <c r="AE26" s="79"/>
    </row>
    <row r="27" spans="1:31" ht="20.100000000000001" customHeight="1" outlineLevel="1" x14ac:dyDescent="0.2">
      <c r="A27" s="30" t="s">
        <v>469</v>
      </c>
      <c r="C27" s="30">
        <v>561</v>
      </c>
      <c r="D27" s="30" t="str">
        <f t="shared" ref="D27:D28" si="38">LEFT(G27,1)</f>
        <v>6</v>
      </c>
      <c r="E27" s="30" t="str">
        <f t="shared" ref="E27:E28" si="39">LEFT(G27,2)</f>
        <v>63</v>
      </c>
      <c r="F27" s="26" t="str">
        <f t="shared" ref="F27:F28" si="40">LEFT(G27,3)</f>
        <v>638</v>
      </c>
      <c r="G27" s="86" t="s">
        <v>314</v>
      </c>
      <c r="H27" s="86" t="s">
        <v>316</v>
      </c>
      <c r="I27" s="87">
        <v>32739</v>
      </c>
      <c r="J27" s="87">
        <v>0</v>
      </c>
      <c r="K27" s="87">
        <v>344.44</v>
      </c>
      <c r="L27" s="87">
        <f t="shared" si="5"/>
        <v>1.0520785607379579</v>
      </c>
      <c r="M27" s="87">
        <f t="shared" si="6"/>
        <v>0</v>
      </c>
      <c r="N27" s="31"/>
      <c r="S27" s="87">
        <v>344.44</v>
      </c>
      <c r="T27" s="87">
        <v>344.44</v>
      </c>
      <c r="U27" s="87">
        <f t="shared" ref="U27:U28" si="41">K27-T27</f>
        <v>0</v>
      </c>
      <c r="V27" s="87">
        <v>344.44</v>
      </c>
      <c r="Y27" s="87">
        <f>O27-X27</f>
        <v>0</v>
      </c>
      <c r="Z27" s="87">
        <f>P27-Y27</f>
        <v>0</v>
      </c>
      <c r="AD27" s="87">
        <f>R27-AA27</f>
        <v>0</v>
      </c>
      <c r="AE27" s="87"/>
    </row>
    <row r="28" spans="1:31" ht="20.100000000000001" customHeight="1" outlineLevel="1" x14ac:dyDescent="0.2">
      <c r="A28" s="30" t="s">
        <v>469</v>
      </c>
      <c r="C28" s="30">
        <v>561</v>
      </c>
      <c r="D28" s="30" t="str">
        <f t="shared" si="38"/>
        <v>9</v>
      </c>
      <c r="E28" s="30" t="str">
        <f t="shared" si="39"/>
        <v>92</v>
      </c>
      <c r="F28" s="26" t="str">
        <f t="shared" si="40"/>
        <v>922</v>
      </c>
      <c r="G28" s="86" t="s">
        <v>298</v>
      </c>
      <c r="H28" s="86" t="s">
        <v>300</v>
      </c>
      <c r="I28" s="87"/>
      <c r="J28" s="87">
        <v>28000</v>
      </c>
      <c r="K28" s="87"/>
      <c r="L28" s="87">
        <f t="shared" si="5"/>
        <v>0</v>
      </c>
      <c r="M28" s="87">
        <f t="shared" si="6"/>
        <v>0</v>
      </c>
      <c r="N28" s="31"/>
      <c r="S28" s="87"/>
      <c r="T28" s="87">
        <v>0</v>
      </c>
      <c r="U28" s="87">
        <f t="shared" si="41"/>
        <v>0</v>
      </c>
      <c r="V28" s="87"/>
      <c r="Y28" s="87">
        <f>O28-X28</f>
        <v>0</v>
      </c>
      <c r="Z28" s="87">
        <f>P28-Y28</f>
        <v>0</v>
      </c>
      <c r="AD28" s="87">
        <f>R28-AA28</f>
        <v>0</v>
      </c>
      <c r="AE28" s="87"/>
    </row>
    <row r="29" spans="1:31" ht="24.95" customHeight="1" x14ac:dyDescent="0.2">
      <c r="A29" s="30"/>
      <c r="G29" s="230" t="s">
        <v>37</v>
      </c>
      <c r="H29" s="230"/>
      <c r="I29" s="79">
        <f>SUM(I30:I30)</f>
        <v>0</v>
      </c>
      <c r="J29" s="79">
        <f t="shared" ref="J29:K29" si="42">SUM(J30:J30)</f>
        <v>0</v>
      </c>
      <c r="K29" s="79">
        <f t="shared" si="42"/>
        <v>0</v>
      </c>
      <c r="L29" s="79">
        <f t="shared" si="5"/>
        <v>0</v>
      </c>
      <c r="M29" s="79">
        <f t="shared" si="6"/>
        <v>0</v>
      </c>
      <c r="S29" s="79">
        <f t="shared" ref="S29" si="43">SUM(S30:S30)</f>
        <v>0</v>
      </c>
      <c r="T29" s="79">
        <f t="shared" ref="T29:U29" si="44">SUM(T30:T30)</f>
        <v>0</v>
      </c>
      <c r="U29" s="79">
        <f t="shared" si="44"/>
        <v>0</v>
      </c>
      <c r="V29" s="79">
        <v>0</v>
      </c>
      <c r="Y29" s="79">
        <f t="shared" ref="Y29:AD29" si="45">SUM(Y30:Y30)</f>
        <v>0</v>
      </c>
      <c r="Z29" s="79">
        <f t="shared" si="45"/>
        <v>0</v>
      </c>
      <c r="AD29" s="79">
        <f t="shared" si="45"/>
        <v>0</v>
      </c>
      <c r="AE29" s="79"/>
    </row>
    <row r="30" spans="1:31" ht="20.100000000000001" customHeight="1" outlineLevel="1" x14ac:dyDescent="0.2">
      <c r="A30" s="30" t="s">
        <v>469</v>
      </c>
      <c r="C30" s="30">
        <v>571</v>
      </c>
      <c r="D30" s="30" t="str">
        <f t="shared" ref="D30" si="46">LEFT(G30,1)</f>
        <v>6</v>
      </c>
      <c r="E30" s="30" t="str">
        <f t="shared" ref="E30" si="47">LEFT(G30,2)</f>
        <v>63</v>
      </c>
      <c r="F30" s="26" t="str">
        <f t="shared" ref="F30" si="48">LEFT(G30,3)</f>
        <v>638</v>
      </c>
      <c r="G30" s="86" t="s">
        <v>318</v>
      </c>
      <c r="H30" s="86" t="s">
        <v>320</v>
      </c>
      <c r="I30" s="87"/>
      <c r="J30" s="87">
        <v>0</v>
      </c>
      <c r="K30" s="87"/>
      <c r="L30" s="87">
        <f t="shared" si="5"/>
        <v>0</v>
      </c>
      <c r="M30" s="87">
        <f t="shared" si="6"/>
        <v>0</v>
      </c>
      <c r="N30" s="31"/>
      <c r="S30" s="87"/>
      <c r="T30" s="87"/>
      <c r="U30" s="87">
        <f>K30-T30</f>
        <v>0</v>
      </c>
      <c r="V30" s="87"/>
      <c r="Y30" s="87">
        <f>O30-X30</f>
        <v>0</v>
      </c>
      <c r="Z30" s="87">
        <f>P30-Y30</f>
        <v>0</v>
      </c>
      <c r="AD30" s="87">
        <f>R30-AA30</f>
        <v>0</v>
      </c>
      <c r="AE30" s="87"/>
    </row>
    <row r="31" spans="1:31" ht="24.95" customHeight="1" x14ac:dyDescent="0.2">
      <c r="A31" s="30"/>
      <c r="G31" s="230" t="s">
        <v>45</v>
      </c>
      <c r="H31" s="230"/>
      <c r="I31" s="79">
        <f t="shared" ref="I31:K31" si="49">SUM(I32:I32)</f>
        <v>105050.08</v>
      </c>
      <c r="J31" s="79">
        <f t="shared" si="49"/>
        <v>100000</v>
      </c>
      <c r="K31" s="79">
        <f t="shared" si="49"/>
        <v>94041.19</v>
      </c>
      <c r="L31" s="79">
        <f t="shared" si="5"/>
        <v>89.520341155380365</v>
      </c>
      <c r="M31" s="79">
        <f t="shared" si="6"/>
        <v>94.041190000000014</v>
      </c>
      <c r="S31" s="79">
        <f t="shared" ref="S31" si="50">SUM(S32:S32)</f>
        <v>94041.19</v>
      </c>
      <c r="T31" s="79">
        <f t="shared" ref="T31:U31" si="51">SUM(T32:T32)</f>
        <v>94041.19</v>
      </c>
      <c r="U31" s="79">
        <f t="shared" si="51"/>
        <v>0</v>
      </c>
      <c r="V31" s="79">
        <v>94041.19</v>
      </c>
      <c r="Y31" s="79">
        <f t="shared" ref="Y31:AD31" si="52">SUM(Y32:Y32)</f>
        <v>0</v>
      </c>
      <c r="Z31" s="79">
        <f t="shared" si="52"/>
        <v>0</v>
      </c>
      <c r="AD31" s="79">
        <f t="shared" si="52"/>
        <v>0</v>
      </c>
      <c r="AE31" s="79"/>
    </row>
    <row r="32" spans="1:31" ht="20.100000000000001" customHeight="1" outlineLevel="1" x14ac:dyDescent="0.2">
      <c r="A32" s="30" t="s">
        <v>469</v>
      </c>
      <c r="C32" s="30">
        <v>611</v>
      </c>
      <c r="D32" s="30" t="str">
        <f t="shared" ref="D32" si="53">LEFT(G32,1)</f>
        <v>6</v>
      </c>
      <c r="E32" s="30" t="str">
        <f t="shared" ref="E32" si="54">LEFT(G32,2)</f>
        <v>66</v>
      </c>
      <c r="F32" s="26" t="str">
        <f t="shared" ref="F32" si="55">LEFT(G32,3)</f>
        <v>663</v>
      </c>
      <c r="G32" s="86" t="s">
        <v>321</v>
      </c>
      <c r="H32" s="86" t="s">
        <v>323</v>
      </c>
      <c r="I32" s="87">
        <v>105050.08</v>
      </c>
      <c r="J32" s="87">
        <v>100000</v>
      </c>
      <c r="K32" s="87">
        <v>94041.19</v>
      </c>
      <c r="L32" s="87">
        <f t="shared" si="5"/>
        <v>89.520341155380365</v>
      </c>
      <c r="M32" s="87">
        <f t="shared" si="6"/>
        <v>94.041190000000014</v>
      </c>
      <c r="N32" s="31"/>
      <c r="S32" s="87">
        <v>94041.19</v>
      </c>
      <c r="T32" s="87">
        <v>94041.19</v>
      </c>
      <c r="U32" s="87">
        <f>K32-T32</f>
        <v>0</v>
      </c>
      <c r="V32" s="87">
        <v>94041.19</v>
      </c>
      <c r="Y32" s="87">
        <f>O32-X32</f>
        <v>0</v>
      </c>
      <c r="Z32" s="87">
        <f>P32-Y32</f>
        <v>0</v>
      </c>
      <c r="AD32" s="87">
        <f>R32-AA32</f>
        <v>0</v>
      </c>
      <c r="AE32" s="87"/>
    </row>
    <row r="33" spans="1:33" ht="24.95" customHeight="1" x14ac:dyDescent="0.2">
      <c r="A33" s="30"/>
      <c r="G33" s="230" t="s">
        <v>48</v>
      </c>
      <c r="H33" s="230"/>
      <c r="I33" s="79">
        <f t="shared" ref="I33:K33" si="56">SUM(I34:I34)</f>
        <v>105.89</v>
      </c>
      <c r="J33" s="79">
        <f t="shared" si="56"/>
        <v>1300</v>
      </c>
      <c r="K33" s="79">
        <f t="shared" si="56"/>
        <v>0</v>
      </c>
      <c r="L33" s="79">
        <f t="shared" si="5"/>
        <v>0</v>
      </c>
      <c r="M33" s="79">
        <f t="shared" si="6"/>
        <v>0</v>
      </c>
      <c r="S33" s="79">
        <f t="shared" ref="S33" si="57">SUM(S34:S34)</f>
        <v>0</v>
      </c>
      <c r="T33" s="79">
        <f t="shared" ref="T33:U33" si="58">SUM(T34:T34)</f>
        <v>0</v>
      </c>
      <c r="U33" s="79">
        <f t="shared" si="58"/>
        <v>0</v>
      </c>
      <c r="V33" s="79">
        <v>0</v>
      </c>
      <c r="W33" s="192"/>
      <c r="Y33" s="79">
        <f t="shared" ref="Y33:AD33" si="59">SUM(Y34:Y34)</f>
        <v>0</v>
      </c>
      <c r="Z33" s="79">
        <f t="shared" si="59"/>
        <v>0</v>
      </c>
      <c r="AD33" s="79">
        <f t="shared" si="59"/>
        <v>0</v>
      </c>
      <c r="AE33" s="79"/>
      <c r="AF33" s="194">
        <f>SUM(AF35:AF233)</f>
        <v>5.4214410738495644E-12</v>
      </c>
    </row>
    <row r="34" spans="1:33" ht="20.100000000000001" customHeight="1" outlineLevel="1" thickBot="1" x14ac:dyDescent="0.25">
      <c r="A34" s="30" t="s">
        <v>469</v>
      </c>
      <c r="C34" s="30">
        <v>711</v>
      </c>
      <c r="D34" s="30" t="str">
        <f t="shared" ref="D34" si="60">LEFT(G34,1)</f>
        <v>7</v>
      </c>
      <c r="E34" s="30" t="str">
        <f t="shared" ref="E34" si="61">LEFT(G34,2)</f>
        <v>72</v>
      </c>
      <c r="F34" s="26" t="str">
        <f t="shared" ref="F34" si="62">LEFT(G34,3)</f>
        <v>721</v>
      </c>
      <c r="G34" s="86" t="s">
        <v>324</v>
      </c>
      <c r="H34" s="86" t="s">
        <v>326</v>
      </c>
      <c r="I34" s="87">
        <v>105.89</v>
      </c>
      <c r="J34" s="87">
        <v>1300</v>
      </c>
      <c r="K34" s="87">
        <v>0</v>
      </c>
      <c r="L34" s="87">
        <f t="shared" si="5"/>
        <v>0</v>
      </c>
      <c r="M34" s="87">
        <f t="shared" si="6"/>
        <v>0</v>
      </c>
      <c r="N34" s="31"/>
      <c r="S34" s="87">
        <v>0</v>
      </c>
      <c r="T34" s="87"/>
      <c r="U34" s="87">
        <f>K34-T34</f>
        <v>0</v>
      </c>
      <c r="V34" s="87">
        <v>0</v>
      </c>
      <c r="Y34" s="87">
        <f>O34-X34</f>
        <v>0</v>
      </c>
      <c r="Z34" s="87">
        <f>P34-Y34</f>
        <v>0</v>
      </c>
      <c r="AD34" s="87">
        <f>R34-AA34</f>
        <v>0</v>
      </c>
      <c r="AE34" s="87"/>
    </row>
    <row r="35" spans="1:33" ht="35.1" customHeight="1" thickBot="1" x14ac:dyDescent="0.25">
      <c r="G35" s="225" t="s">
        <v>463</v>
      </c>
      <c r="H35" s="225"/>
      <c r="I35" s="82">
        <f>I36+I137+I189+I192+I196</f>
        <v>18901158.130000003</v>
      </c>
      <c r="J35" s="82">
        <f>J36+J137+J189+J192+J196</f>
        <v>23471400</v>
      </c>
      <c r="K35" s="82">
        <f>K36+K137+K189+K192+K196</f>
        <v>23268572.130000003</v>
      </c>
      <c r="L35" s="82">
        <f t="shared" si="5"/>
        <v>123.10659468568765</v>
      </c>
      <c r="M35" s="82">
        <f t="shared" si="6"/>
        <v>99.135850993123555</v>
      </c>
      <c r="S35" s="82">
        <f>S36+S137+S189+S192+S196</f>
        <v>23268572.130000003</v>
      </c>
      <c r="T35" s="82">
        <f>T36+T137+T189+T192+T196</f>
        <v>23219572.780000005</v>
      </c>
      <c r="U35" s="82">
        <f>U36+U137+U189+U192+U196</f>
        <v>48999.349999999482</v>
      </c>
      <c r="X35" s="32">
        <f>K35-T35-U35</f>
        <v>-1.7171259969472885E-9</v>
      </c>
      <c r="Y35" s="82">
        <f>Y36+Y137+Y189+Y192+Y196</f>
        <v>23219572.780000005</v>
      </c>
      <c r="Z35" s="82">
        <f>Z36+Z137+Z189+Z192+Z196</f>
        <v>-48999.349999999482</v>
      </c>
      <c r="AD35" s="82">
        <f>AD36+AD137+AD189+AD192+AD196</f>
        <v>48999.349999999366</v>
      </c>
      <c r="AE35" s="82">
        <f>AE36+AE137+AE189+AE192+AE196</f>
        <v>23268572.130000003</v>
      </c>
      <c r="AF35" s="194">
        <f>ROUND(K35-T35-AD35,2)</f>
        <v>0</v>
      </c>
    </row>
    <row r="36" spans="1:33" ht="35.1" customHeight="1" collapsed="1" thickBot="1" x14ac:dyDescent="0.25">
      <c r="G36" s="225" t="s">
        <v>55</v>
      </c>
      <c r="H36" s="225"/>
      <c r="I36" s="82">
        <f>I37+I63+I65+I92+I121+I127+I135</f>
        <v>16512551.000000002</v>
      </c>
      <c r="J36" s="82">
        <f>J37+J63+J65+J92+J121+J127+J135</f>
        <v>20148300</v>
      </c>
      <c r="K36" s="82">
        <f>K37+K63+K65+K92+K121+K127+K135</f>
        <v>20486676.98</v>
      </c>
      <c r="L36" s="82">
        <f t="shared" si="5"/>
        <v>124.06730480347947</v>
      </c>
      <c r="M36" s="82">
        <f t="shared" si="6"/>
        <v>101.67943191236979</v>
      </c>
      <c r="S36" s="82">
        <f>S37+S63+S65+S92+S121+S127+S135</f>
        <v>20486676.98</v>
      </c>
      <c r="T36" s="82">
        <f>T37+T63+T65+T92+T121+T127+T135</f>
        <v>20441634.540000003</v>
      </c>
      <c r="U36" s="82">
        <f>U37+U63+U65+U92+U121+U127+U135</f>
        <v>45042.439999999369</v>
      </c>
      <c r="V36" s="31"/>
      <c r="X36" s="32">
        <f>K36-T36-U36</f>
        <v>-1.7535057850182056E-9</v>
      </c>
      <c r="Y36" s="82">
        <f>Y37+Y63+Y65+Y92+Y121+Y127+Y135</f>
        <v>20441634.540000003</v>
      </c>
      <c r="Z36" s="82">
        <f>Z37+Z63+Z65+Z92+Z121+Z127+Z135</f>
        <v>-45042.439999999369</v>
      </c>
      <c r="AD36" s="82">
        <f>AD37+AD63+AD65+AD92+AD121+AD127+AD135</f>
        <v>45766.889999999396</v>
      </c>
      <c r="AE36" s="82">
        <f>AE37+AE63+AE65+AE92+AE121+AE127+AE135</f>
        <v>20487401.430000003</v>
      </c>
      <c r="AF36" s="194">
        <f>ROUND(K36-T36-AD36,2)</f>
        <v>-724.45</v>
      </c>
      <c r="AG36" s="82">
        <f>SUM(AG37:AG228)</f>
        <v>48999.349999999307</v>
      </c>
    </row>
    <row r="37" spans="1:33" ht="24.95" customHeight="1" x14ac:dyDescent="0.2">
      <c r="G37" s="230" t="s">
        <v>56</v>
      </c>
      <c r="H37" s="230"/>
      <c r="I37" s="79">
        <f>SUMIFS(I39:I209,$B39:$B209,"A212401",$C39:$C209,"112")</f>
        <v>15017017.200000001</v>
      </c>
      <c r="J37" s="79">
        <f>SUMIFS(J39:J209,$B39:$B209,"A212401",$C39:$C209,"112")</f>
        <v>18447700</v>
      </c>
      <c r="K37" s="79">
        <f>SUMIFS(K39:K209,$B39:$B209,"A212401",$C39:$C209,"112")</f>
        <v>18791292.43</v>
      </c>
      <c r="L37" s="79">
        <f t="shared" si="5"/>
        <v>125.13332161595979</v>
      </c>
      <c r="M37" s="79">
        <f t="shared" si="6"/>
        <v>101.86252177778259</v>
      </c>
      <c r="S37" s="79">
        <f>SUMIFS(S39:S209,$B39:$B209,"A212401",$C39:$C209,"112")</f>
        <v>18745412.310000002</v>
      </c>
      <c r="T37" s="79">
        <f>SUMIFS(T39:T209,$B39:$B209,"A212401",$C39:$C209,"112")</f>
        <v>18746249.990000002</v>
      </c>
      <c r="U37" s="79">
        <f>SUMIFS(U39:U209,$B39:$B209,"A212401",$C39:$C209,"112")</f>
        <v>45042.439999999369</v>
      </c>
      <c r="X37" s="32">
        <f>K37-T37-U37</f>
        <v>-1.7535057850182056E-9</v>
      </c>
      <c r="Y37" s="79">
        <f>SUMIFS(Y39:Y209,$B39:$B209,"A212401",$C39:$C209,"112")</f>
        <v>18746249.990000002</v>
      </c>
      <c r="Z37" s="79">
        <f>SUMIFS(Z39:Z209,$B39:$B209,"A212401",$C39:$C209,"112")</f>
        <v>-45042.439999999369</v>
      </c>
      <c r="AD37" s="79">
        <f>SUMIFS(AD39:AD209,$B39:$B209,"A212401",$C39:$C209,"112")</f>
        <v>18787.38999999937</v>
      </c>
      <c r="AE37" s="79">
        <f>SUMIFS(AE39:AE209,$B39:$B209,"A212401",$C39:$C209,"112")</f>
        <v>18763737.670000002</v>
      </c>
      <c r="AF37" s="194">
        <f>ROUND(K37-T37-AD37,2)</f>
        <v>26255.05</v>
      </c>
      <c r="AG37" s="79">
        <f>SUBTOTAL(9,AD39:AD57)</f>
        <v>18787.38999999937</v>
      </c>
    </row>
    <row r="38" spans="1:33" ht="20.100000000000001" customHeight="1" outlineLevel="1" x14ac:dyDescent="0.2">
      <c r="A38" s="30" t="s">
        <v>472</v>
      </c>
      <c r="B38" s="26" t="s">
        <v>327</v>
      </c>
      <c r="C38" s="30">
        <v>112</v>
      </c>
      <c r="D38" s="30" t="str">
        <f t="shared" ref="D38" si="63">LEFT(G38,1)</f>
        <v/>
      </c>
      <c r="E38" s="30" t="str">
        <f t="shared" ref="E38" si="64">LEFT(G38,2)</f>
        <v/>
      </c>
      <c r="F38" s="26" t="str">
        <f t="shared" ref="F38" si="65">LEFT(G38,3)</f>
        <v/>
      </c>
      <c r="G38" s="86"/>
      <c r="H38" s="86"/>
      <c r="I38" s="87"/>
      <c r="J38" s="87"/>
      <c r="K38" s="87"/>
      <c r="L38" s="87"/>
      <c r="M38" s="87"/>
      <c r="N38" s="31"/>
      <c r="S38" s="87"/>
      <c r="T38" s="87"/>
      <c r="U38" s="87"/>
      <c r="Y38" s="87"/>
      <c r="Z38" s="87"/>
      <c r="AD38" s="87"/>
      <c r="AE38" s="87"/>
    </row>
    <row r="39" spans="1:33" ht="20.100000000000001" customHeight="1" outlineLevel="1" x14ac:dyDescent="0.2">
      <c r="A39" s="30" t="s">
        <v>472</v>
      </c>
      <c r="B39" s="26" t="s">
        <v>327</v>
      </c>
      <c r="C39" s="30">
        <v>112</v>
      </c>
      <c r="D39" s="30" t="str">
        <f t="shared" ref="D39:D62" si="66">LEFT(G39,1)</f>
        <v>3</v>
      </c>
      <c r="E39" s="30" t="str">
        <f t="shared" ref="E39:E62" si="67">LEFT(G39,2)</f>
        <v>31</v>
      </c>
      <c r="F39" s="26" t="str">
        <f t="shared" ref="F39:F62" si="68">LEFT(G39,3)</f>
        <v>311</v>
      </c>
      <c r="G39" s="86" t="s">
        <v>57</v>
      </c>
      <c r="H39" s="86" t="s">
        <v>59</v>
      </c>
      <c r="I39" s="87">
        <f>_xlfn.IFNA(VLOOKUP(G39,'Posebni dio-programska_2024'!A$46:D$67,4,FALSE),999999)</f>
        <v>11200135.939999999</v>
      </c>
      <c r="J39" s="87">
        <v>13944200</v>
      </c>
      <c r="K39" s="87">
        <v>13962614.67</v>
      </c>
      <c r="L39" s="87">
        <f t="shared" si="5"/>
        <v>124.66468929304799</v>
      </c>
      <c r="M39" s="87">
        <f t="shared" si="6"/>
        <v>100.13205970941324</v>
      </c>
      <c r="N39" s="31"/>
      <c r="S39" s="87">
        <f>K39+Z39</f>
        <v>13971090.310000001</v>
      </c>
      <c r="T39" s="87">
        <v>13971090.310000001</v>
      </c>
      <c r="U39" s="87">
        <f>K39-T39</f>
        <v>-8475.640000000596</v>
      </c>
      <c r="W39" s="192"/>
      <c r="Y39" s="87">
        <f>_xlfn.IFNA(VLOOKUP(G39,[4]IspisZahtjevaRviRazdobljaSumira!$A$43:$G$66,6,FALSE),999999)</f>
        <v>13971090.310000001</v>
      </c>
      <c r="Z39" s="193">
        <f>Y39-K39</f>
        <v>8475.640000000596</v>
      </c>
      <c r="AA39" s="55" t="s">
        <v>58</v>
      </c>
      <c r="AB39" s="195">
        <f>C39</f>
        <v>112</v>
      </c>
      <c r="AC39" s="195" t="str">
        <f>B39</f>
        <v>A212401</v>
      </c>
      <c r="AD39" s="193">
        <v>-8475.640000000596</v>
      </c>
      <c r="AE39" s="87">
        <f>_xlfn.IFNA(VLOOKUP(G39,[5]Rashodi!$B$5:$F$28,5,FALSE), 999999)</f>
        <v>13962614.67</v>
      </c>
      <c r="AF39" s="194">
        <f t="shared" ref="AF39:AF70" si="69">ROUND(K39-T39-AD39,2)</f>
        <v>0</v>
      </c>
    </row>
    <row r="40" spans="1:33" ht="20.100000000000001" customHeight="1" outlineLevel="1" x14ac:dyDescent="0.2">
      <c r="A40" s="30" t="s">
        <v>472</v>
      </c>
      <c r="B40" s="26" t="s">
        <v>327</v>
      </c>
      <c r="C40" s="30">
        <v>112</v>
      </c>
      <c r="D40" s="30" t="str">
        <f t="shared" si="66"/>
        <v>3</v>
      </c>
      <c r="E40" s="30" t="str">
        <f t="shared" si="67"/>
        <v>31</v>
      </c>
      <c r="F40" s="26" t="str">
        <f t="shared" si="68"/>
        <v>312</v>
      </c>
      <c r="G40" s="86" t="s">
        <v>60</v>
      </c>
      <c r="H40" s="86" t="s">
        <v>62</v>
      </c>
      <c r="I40" s="87">
        <f>_xlfn.IFNA(VLOOKUP(G40,'Posebni dio-programska_2024'!A$46:D$67,4,FALSE),999999)</f>
        <v>1086359.73</v>
      </c>
      <c r="J40" s="87">
        <v>899400</v>
      </c>
      <c r="K40" s="87">
        <v>1282770.57</v>
      </c>
      <c r="L40" s="87">
        <f t="shared" si="5"/>
        <v>118.07972392349264</v>
      </c>
      <c r="M40" s="87">
        <f t="shared" si="6"/>
        <v>142.62514676450968</v>
      </c>
      <c r="N40" s="31"/>
      <c r="S40" s="87">
        <f>K40+Z40</f>
        <v>1259581.3899999999</v>
      </c>
      <c r="T40" s="87">
        <v>1259581.3899999999</v>
      </c>
      <c r="U40" s="87">
        <f t="shared" ref="U40:U103" si="70">K40-T40</f>
        <v>23189.180000000168</v>
      </c>
      <c r="W40" s="192"/>
      <c r="Y40" s="87">
        <f>_xlfn.IFNA(VLOOKUP(G40,[4]IspisZahtjevaRviRazdobljaSumira!$A$43:$G$66,6,FALSE),999999)</f>
        <v>1259581.3899999999</v>
      </c>
      <c r="Z40" s="193">
        <f t="shared" ref="Z40:Z62" si="71">Y40-K40</f>
        <v>-23189.180000000168</v>
      </c>
      <c r="AA40" s="55" t="s">
        <v>61</v>
      </c>
      <c r="AB40" s="195">
        <f t="shared" ref="AB40:AB103" si="72">C40</f>
        <v>112</v>
      </c>
      <c r="AC40" s="195" t="str">
        <f t="shared" ref="AC40:AC62" si="73">B40</f>
        <v>A212401</v>
      </c>
      <c r="AD40" s="193">
        <v>23189.180000000168</v>
      </c>
      <c r="AE40" s="87">
        <f>_xlfn.IFNA(VLOOKUP(G40,[5]Rashodi!$B$5:$F$28,5,FALSE), 999999)</f>
        <v>1282770.57</v>
      </c>
      <c r="AF40" s="194">
        <f t="shared" si="69"/>
        <v>0</v>
      </c>
    </row>
    <row r="41" spans="1:33" ht="20.100000000000001" customHeight="1" outlineLevel="1" x14ac:dyDescent="0.2">
      <c r="A41" s="30" t="s">
        <v>472</v>
      </c>
      <c r="B41" s="26" t="s">
        <v>327</v>
      </c>
      <c r="C41" s="30">
        <v>112</v>
      </c>
      <c r="D41" s="30" t="str">
        <f t="shared" si="66"/>
        <v>3</v>
      </c>
      <c r="E41" s="30" t="str">
        <f t="shared" si="67"/>
        <v>31</v>
      </c>
      <c r="F41" s="26" t="str">
        <f t="shared" si="68"/>
        <v>313</v>
      </c>
      <c r="G41" s="86" t="s">
        <v>63</v>
      </c>
      <c r="H41" s="86" t="s">
        <v>65</v>
      </c>
      <c r="I41" s="87">
        <f>_xlfn.IFNA(VLOOKUP(G41,'Posebni dio-programska_2024'!A$46:D$67,4,FALSE),999999)</f>
        <v>1795782.4</v>
      </c>
      <c r="J41" s="87">
        <v>2231900</v>
      </c>
      <c r="K41" s="87">
        <v>2240298.54</v>
      </c>
      <c r="L41" s="87">
        <f t="shared" si="5"/>
        <v>124.75334093930313</v>
      </c>
      <c r="M41" s="87">
        <f t="shared" si="6"/>
        <v>100.376295532954</v>
      </c>
      <c r="N41" s="31"/>
      <c r="S41" s="87">
        <f>K41+Z41</f>
        <v>2236686.7200000002</v>
      </c>
      <c r="T41" s="87">
        <v>2236686.7200000002</v>
      </c>
      <c r="U41" s="87">
        <f t="shared" si="70"/>
        <v>3611.8199999998324</v>
      </c>
      <c r="W41" s="192"/>
      <c r="Y41" s="87">
        <f>_xlfn.IFNA(VLOOKUP(G41,[4]IspisZahtjevaRviRazdobljaSumira!$A$43:$G$66,6,FALSE),999999)</f>
        <v>2236686.7200000002</v>
      </c>
      <c r="Z41" s="193">
        <f t="shared" si="71"/>
        <v>-3611.8199999998324</v>
      </c>
      <c r="AA41" s="55" t="s">
        <v>64</v>
      </c>
      <c r="AB41" s="195">
        <f t="shared" si="72"/>
        <v>112</v>
      </c>
      <c r="AC41" s="195" t="str">
        <f t="shared" si="73"/>
        <v>A212401</v>
      </c>
      <c r="AD41" s="193">
        <v>3611.8199999998324</v>
      </c>
      <c r="AE41" s="87">
        <f>_xlfn.IFNA(VLOOKUP(G41,[5]Rashodi!$B$5:$F$28,5,FALSE), 999999)</f>
        <v>2240298.54</v>
      </c>
      <c r="AF41" s="194">
        <f t="shared" si="69"/>
        <v>0</v>
      </c>
    </row>
    <row r="42" spans="1:33" ht="20.100000000000001" customHeight="1" outlineLevel="1" x14ac:dyDescent="0.2">
      <c r="A42" s="30" t="s">
        <v>472</v>
      </c>
      <c r="B42" s="26" t="s">
        <v>327</v>
      </c>
      <c r="C42" s="30">
        <v>112</v>
      </c>
      <c r="D42" s="30" t="str">
        <f t="shared" si="66"/>
        <v>3</v>
      </c>
      <c r="E42" s="30" t="str">
        <f t="shared" si="67"/>
        <v>32</v>
      </c>
      <c r="F42" s="26" t="str">
        <f t="shared" si="68"/>
        <v>321</v>
      </c>
      <c r="G42" s="86" t="s">
        <v>66</v>
      </c>
      <c r="H42" s="86" t="s">
        <v>68</v>
      </c>
      <c r="I42" s="87">
        <f>_xlfn.IFNA(VLOOKUP(G42,'Posebni dio-programska_2024'!A$46:D$67,4,FALSE),999999)</f>
        <v>290641.33</v>
      </c>
      <c r="J42" s="87">
        <v>321000</v>
      </c>
      <c r="K42" s="87">
        <v>311375.78999999998</v>
      </c>
      <c r="L42" s="87">
        <f t="shared" si="5"/>
        <v>107.13403699329341</v>
      </c>
      <c r="M42" s="87">
        <f t="shared" si="6"/>
        <v>97.001803738317747</v>
      </c>
      <c r="N42" s="31"/>
      <c r="S42" s="87">
        <f>K42+Z42</f>
        <v>297983.45</v>
      </c>
      <c r="T42" s="87">
        <v>297983.45</v>
      </c>
      <c r="U42" s="87">
        <f t="shared" si="70"/>
        <v>13392.339999999967</v>
      </c>
      <c r="W42" s="192"/>
      <c r="Y42" s="87">
        <f>_xlfn.IFNA(VLOOKUP(G42,[4]IspisZahtjevaRviRazdobljaSumira!$A$43:$G$66,6,FALSE),999999)</f>
        <v>297983.45</v>
      </c>
      <c r="Z42" s="193">
        <f t="shared" si="71"/>
        <v>-13392.339999999967</v>
      </c>
      <c r="AA42" s="55" t="s">
        <v>67</v>
      </c>
      <c r="AB42" s="195">
        <f t="shared" si="72"/>
        <v>112</v>
      </c>
      <c r="AC42" s="195" t="str">
        <f t="shared" si="73"/>
        <v>A212401</v>
      </c>
      <c r="AD42" s="193">
        <v>1299.7099999999671</v>
      </c>
      <c r="AE42" s="87">
        <f>_xlfn.IFNA(VLOOKUP(G42,[5]Rashodi!$B$5:$F$28,5,FALSE), 999999)</f>
        <v>297983.45</v>
      </c>
      <c r="AF42" s="194">
        <f t="shared" si="69"/>
        <v>12092.63</v>
      </c>
    </row>
    <row r="43" spans="1:33" ht="20.100000000000001" customHeight="1" outlineLevel="1" x14ac:dyDescent="0.2">
      <c r="A43" s="30" t="s">
        <v>472</v>
      </c>
      <c r="B43" s="26" t="s">
        <v>327</v>
      </c>
      <c r="C43" s="30">
        <v>112</v>
      </c>
      <c r="D43" s="30" t="str">
        <f t="shared" si="66"/>
        <v>3</v>
      </c>
      <c r="E43" s="30" t="str">
        <f t="shared" si="67"/>
        <v>32</v>
      </c>
      <c r="F43" s="26" t="str">
        <f t="shared" si="68"/>
        <v>321</v>
      </c>
      <c r="G43" s="86" t="s">
        <v>69</v>
      </c>
      <c r="H43" s="86" t="s">
        <v>71</v>
      </c>
      <c r="I43" s="87">
        <f>_xlfn.IFNA(VLOOKUP(G43,'Posebni dio-programska_2024'!A$46:D$67,4,FALSE),999999)</f>
        <v>2030</v>
      </c>
      <c r="J43" s="87">
        <v>25000</v>
      </c>
      <c r="K43" s="87">
        <f>26755.89+40+571.75+258.57</f>
        <v>27626.21</v>
      </c>
      <c r="L43" s="87">
        <f t="shared" si="5"/>
        <v>1360.8970443349754</v>
      </c>
      <c r="M43" s="87">
        <f t="shared" si="6"/>
        <v>110.50484</v>
      </c>
      <c r="N43" s="31"/>
      <c r="S43" s="87">
        <f>26755.89+40+571.75+258.57</f>
        <v>27626.21</v>
      </c>
      <c r="T43" s="87">
        <v>27626.21</v>
      </c>
      <c r="U43" s="87">
        <f t="shared" si="70"/>
        <v>0</v>
      </c>
      <c r="W43" s="192"/>
      <c r="Y43" s="87">
        <f>_xlfn.IFNA(VLOOKUP(G43,[4]IspisZahtjevaRviRazdobljaSumira!$A$43:$G$66,6,FALSE),999999)</f>
        <v>27626.21</v>
      </c>
      <c r="Z43" s="87">
        <f t="shared" si="71"/>
        <v>0</v>
      </c>
      <c r="AA43" s="55" t="s">
        <v>70</v>
      </c>
      <c r="AB43" s="195">
        <f t="shared" si="72"/>
        <v>112</v>
      </c>
      <c r="AC43" s="195" t="str">
        <f t="shared" si="73"/>
        <v>A212401</v>
      </c>
      <c r="AD43" s="87"/>
      <c r="AE43" s="87">
        <f>_xlfn.IFNA(VLOOKUP(G43,[5]Rashodi!$B$5:$F$28,5,FALSE), 999999)</f>
        <v>27626.21</v>
      </c>
      <c r="AF43" s="194">
        <f t="shared" si="69"/>
        <v>0</v>
      </c>
    </row>
    <row r="44" spans="1:33" ht="20.100000000000001" customHeight="1" outlineLevel="1" x14ac:dyDescent="0.2">
      <c r="A44" s="30" t="s">
        <v>472</v>
      </c>
      <c r="B44" s="26" t="s">
        <v>327</v>
      </c>
      <c r="C44" s="30">
        <v>112</v>
      </c>
      <c r="D44" s="30" t="str">
        <f t="shared" si="66"/>
        <v>3</v>
      </c>
      <c r="E44" s="30" t="str">
        <f t="shared" si="67"/>
        <v>32</v>
      </c>
      <c r="F44" s="26" t="str">
        <f t="shared" si="68"/>
        <v>322</v>
      </c>
      <c r="G44" s="86" t="s">
        <v>72</v>
      </c>
      <c r="H44" s="86" t="s">
        <v>74</v>
      </c>
      <c r="I44" s="87">
        <f>_xlfn.IFNA(VLOOKUP(G44,'Posebni dio-programska_2024'!A$46:D$67,4,FALSE),999999)</f>
        <v>3000</v>
      </c>
      <c r="J44" s="87">
        <v>4500</v>
      </c>
      <c r="K44" s="87">
        <f>4545+40.75</f>
        <v>4585.75</v>
      </c>
      <c r="L44" s="87">
        <f t="shared" si="5"/>
        <v>152.85833333333335</v>
      </c>
      <c r="M44" s="87">
        <f t="shared" si="6"/>
        <v>101.90555555555557</v>
      </c>
      <c r="N44" s="31"/>
      <c r="S44" s="87">
        <f>4545+40.75</f>
        <v>4585.75</v>
      </c>
      <c r="T44" s="87">
        <v>4585.75</v>
      </c>
      <c r="U44" s="87">
        <f t="shared" si="70"/>
        <v>0</v>
      </c>
      <c r="W44" s="192"/>
      <c r="Y44" s="87">
        <f>_xlfn.IFNA(VLOOKUP(G44,[4]IspisZahtjevaRviRazdobljaSumira!$A$43:$G$66,6,FALSE),999999)</f>
        <v>4585.75</v>
      </c>
      <c r="Z44" s="87">
        <f t="shared" si="71"/>
        <v>0</v>
      </c>
      <c r="AA44" s="55" t="s">
        <v>73</v>
      </c>
      <c r="AB44" s="195">
        <f t="shared" si="72"/>
        <v>112</v>
      </c>
      <c r="AC44" s="195" t="str">
        <f t="shared" si="73"/>
        <v>A212401</v>
      </c>
      <c r="AD44" s="87"/>
      <c r="AE44" s="87">
        <f>_xlfn.IFNA(VLOOKUP(G44,[5]Rashodi!$B$5:$F$28,5,FALSE), 999999)</f>
        <v>4585.75</v>
      </c>
      <c r="AF44" s="194">
        <f t="shared" si="69"/>
        <v>0</v>
      </c>
    </row>
    <row r="45" spans="1:33" ht="20.100000000000001" customHeight="1" outlineLevel="1" x14ac:dyDescent="0.2">
      <c r="A45" s="30" t="s">
        <v>472</v>
      </c>
      <c r="B45" s="26" t="s">
        <v>327</v>
      </c>
      <c r="C45" s="30">
        <v>112</v>
      </c>
      <c r="D45" s="30" t="str">
        <f t="shared" si="66"/>
        <v>3</v>
      </c>
      <c r="E45" s="30" t="str">
        <f t="shared" si="67"/>
        <v>32</v>
      </c>
      <c r="F45" s="26" t="str">
        <f t="shared" si="68"/>
        <v>322</v>
      </c>
      <c r="G45" s="86" t="s">
        <v>75</v>
      </c>
      <c r="H45" s="86" t="s">
        <v>77</v>
      </c>
      <c r="I45" s="87">
        <f>_xlfn.IFNA(VLOOKUP(G45,'Posebni dio-programska_2024'!A$46:D$67,4,FALSE),999999)</f>
        <v>3000</v>
      </c>
      <c r="J45" s="87">
        <v>43400</v>
      </c>
      <c r="K45" s="87">
        <v>7878.08</v>
      </c>
      <c r="L45" s="87">
        <f t="shared" si="5"/>
        <v>262.60266666666666</v>
      </c>
      <c r="M45" s="87">
        <f t="shared" si="6"/>
        <v>18.152258064516129</v>
      </c>
      <c r="N45" s="31"/>
      <c r="S45" s="87">
        <v>7878.08</v>
      </c>
      <c r="T45" s="87">
        <v>7878.08</v>
      </c>
      <c r="U45" s="87">
        <f t="shared" si="70"/>
        <v>0</v>
      </c>
      <c r="W45" s="192"/>
      <c r="Y45" s="87">
        <f>_xlfn.IFNA(VLOOKUP(G45,[4]IspisZahtjevaRviRazdobljaSumira!$A$43:$G$66,6,FALSE),999999)</f>
        <v>7878.08</v>
      </c>
      <c r="Z45" s="87">
        <f t="shared" si="71"/>
        <v>0</v>
      </c>
      <c r="AA45" s="55" t="s">
        <v>76</v>
      </c>
      <c r="AB45" s="195">
        <f t="shared" si="72"/>
        <v>112</v>
      </c>
      <c r="AC45" s="195" t="str">
        <f t="shared" si="73"/>
        <v>A212401</v>
      </c>
      <c r="AD45" s="87"/>
      <c r="AE45" s="87">
        <f>_xlfn.IFNA(VLOOKUP(G45,[5]Rashodi!$B$5:$F$28,5,FALSE), 999999)</f>
        <v>7878.08</v>
      </c>
      <c r="AF45" s="194">
        <f t="shared" si="69"/>
        <v>0</v>
      </c>
    </row>
    <row r="46" spans="1:33" ht="20.100000000000001" customHeight="1" outlineLevel="1" x14ac:dyDescent="0.2">
      <c r="A46" s="30" t="s">
        <v>472</v>
      </c>
      <c r="B46" s="26" t="s">
        <v>327</v>
      </c>
      <c r="C46" s="30">
        <v>112</v>
      </c>
      <c r="D46" s="30" t="str">
        <f t="shared" si="66"/>
        <v>3</v>
      </c>
      <c r="E46" s="30" t="str">
        <f t="shared" si="67"/>
        <v>32</v>
      </c>
      <c r="F46" s="26" t="str">
        <f t="shared" si="68"/>
        <v>322</v>
      </c>
      <c r="G46" s="86" t="s">
        <v>78</v>
      </c>
      <c r="H46" s="86" t="s">
        <v>80</v>
      </c>
      <c r="I46" s="87">
        <f>_xlfn.IFNA(VLOOKUP(G46,'Posebni dio-programska_2024'!A$46:D$67,4,FALSE),999999)</f>
        <v>336800.25</v>
      </c>
      <c r="J46" s="87">
        <v>446900</v>
      </c>
      <c r="K46" s="87">
        <v>407807.11</v>
      </c>
      <c r="L46" s="87">
        <f t="shared" si="5"/>
        <v>121.08278126278111</v>
      </c>
      <c r="M46" s="87">
        <f t="shared" si="6"/>
        <v>91.252430073842021</v>
      </c>
      <c r="N46" s="31"/>
      <c r="S46" s="87">
        <f>K46+Z46</f>
        <v>407791.85</v>
      </c>
      <c r="T46" s="87">
        <v>407791.85</v>
      </c>
      <c r="U46" s="87">
        <f t="shared" si="70"/>
        <v>15.260000000009313</v>
      </c>
      <c r="W46" s="192"/>
      <c r="Y46" s="87">
        <f>_xlfn.IFNA(VLOOKUP(G46,[4]IspisZahtjevaRviRazdobljaSumira!$A$43:$G$66,6,FALSE),999999)</f>
        <v>407791.85</v>
      </c>
      <c r="Z46" s="193">
        <f t="shared" si="71"/>
        <v>-15.260000000009313</v>
      </c>
      <c r="AA46" s="55" t="s">
        <v>79</v>
      </c>
      <c r="AB46" s="195">
        <f t="shared" si="72"/>
        <v>112</v>
      </c>
      <c r="AC46" s="195" t="str">
        <f t="shared" si="73"/>
        <v>A212401</v>
      </c>
      <c r="AD46" s="193"/>
      <c r="AE46" s="87">
        <f>_xlfn.IFNA(VLOOKUP(G46,[5]Rashodi!$B$5:$F$28,5,FALSE), 999999)</f>
        <v>407791.85</v>
      </c>
      <c r="AF46" s="194">
        <f t="shared" si="69"/>
        <v>15.26</v>
      </c>
    </row>
    <row r="47" spans="1:33" ht="20.100000000000001" customHeight="1" outlineLevel="1" x14ac:dyDescent="0.2">
      <c r="A47" s="30" t="s">
        <v>472</v>
      </c>
      <c r="B47" s="26" t="s">
        <v>327</v>
      </c>
      <c r="C47" s="30">
        <v>112</v>
      </c>
      <c r="D47" s="30" t="str">
        <f t="shared" si="66"/>
        <v>3</v>
      </c>
      <c r="E47" s="30" t="str">
        <f t="shared" si="67"/>
        <v>32</v>
      </c>
      <c r="F47" s="26" t="str">
        <f t="shared" si="68"/>
        <v>322</v>
      </c>
      <c r="G47" s="86" t="s">
        <v>81</v>
      </c>
      <c r="H47" s="86" t="s">
        <v>83</v>
      </c>
      <c r="I47" s="87">
        <f>_xlfn.IFNA(VLOOKUP(G47,'Posebni dio-programska_2024'!A$46:D$67,4,FALSE),999999)</f>
        <v>5000</v>
      </c>
      <c r="J47" s="87">
        <v>5000</v>
      </c>
      <c r="K47" s="87">
        <v>5000</v>
      </c>
      <c r="L47" s="87">
        <f t="shared" si="5"/>
        <v>100</v>
      </c>
      <c r="M47" s="87">
        <f t="shared" si="6"/>
        <v>100</v>
      </c>
      <c r="N47" s="31"/>
      <c r="S47" s="87">
        <f>K47+Z47</f>
        <v>4030.8</v>
      </c>
      <c r="T47" s="87">
        <v>4030.8</v>
      </c>
      <c r="U47" s="87">
        <f t="shared" si="70"/>
        <v>969.19999999999982</v>
      </c>
      <c r="W47" s="192"/>
      <c r="Y47" s="87">
        <f>_xlfn.IFNA(VLOOKUP(G47,[4]IspisZahtjevaRviRazdobljaSumira!$A$43:$G$66,6,FALSE),999999)</f>
        <v>4030.8</v>
      </c>
      <c r="Z47" s="193">
        <f t="shared" si="71"/>
        <v>-969.19999999999982</v>
      </c>
      <c r="AA47" s="55" t="s">
        <v>82</v>
      </c>
      <c r="AB47" s="195">
        <f t="shared" si="72"/>
        <v>112</v>
      </c>
      <c r="AC47" s="195" t="str">
        <f t="shared" si="73"/>
        <v>A212401</v>
      </c>
      <c r="AD47" s="193"/>
      <c r="AE47" s="87">
        <f>_xlfn.IFNA(VLOOKUP(G47,[5]Rashodi!$B$5:$F$28,5,FALSE), 999999)</f>
        <v>4030.8</v>
      </c>
      <c r="AF47" s="194">
        <f t="shared" si="69"/>
        <v>969.2</v>
      </c>
    </row>
    <row r="48" spans="1:33" ht="20.100000000000001" customHeight="1" outlineLevel="1" x14ac:dyDescent="0.2">
      <c r="A48" s="30" t="s">
        <v>472</v>
      </c>
      <c r="B48" s="26" t="s">
        <v>327</v>
      </c>
      <c r="C48" s="30">
        <v>112</v>
      </c>
      <c r="D48" s="30" t="str">
        <f t="shared" si="66"/>
        <v>3</v>
      </c>
      <c r="E48" s="30" t="str">
        <f t="shared" si="67"/>
        <v>32</v>
      </c>
      <c r="F48" s="26" t="str">
        <f t="shared" si="68"/>
        <v>322</v>
      </c>
      <c r="G48" s="86" t="s">
        <v>84</v>
      </c>
      <c r="H48" s="86" t="s">
        <v>86</v>
      </c>
      <c r="I48" s="87">
        <v>0</v>
      </c>
      <c r="J48" s="87">
        <v>0</v>
      </c>
      <c r="K48" s="87"/>
      <c r="L48" s="87">
        <f t="shared" si="5"/>
        <v>0</v>
      </c>
      <c r="M48" s="87">
        <f t="shared" si="6"/>
        <v>0</v>
      </c>
      <c r="N48" s="31"/>
      <c r="S48" s="87"/>
      <c r="T48" s="87">
        <v>0</v>
      </c>
      <c r="U48" s="87">
        <f t="shared" si="70"/>
        <v>0</v>
      </c>
      <c r="W48" s="192"/>
      <c r="Y48" s="87">
        <f>_xlfn.IFNA(VLOOKUP(G48,[4]IspisZahtjevaRviRazdobljaSumira!$A$43:$G$66,6,FALSE),999999)</f>
        <v>0</v>
      </c>
      <c r="Z48" s="87">
        <f t="shared" si="71"/>
        <v>0</v>
      </c>
      <c r="AA48" s="55" t="s">
        <v>85</v>
      </c>
      <c r="AB48" s="195">
        <f t="shared" si="72"/>
        <v>112</v>
      </c>
      <c r="AC48" s="195" t="str">
        <f t="shared" si="73"/>
        <v>A212401</v>
      </c>
      <c r="AD48" s="87"/>
      <c r="AE48" s="87">
        <f>_xlfn.IFNA(VLOOKUP(G48,[5]Rashodi!$B$5:$F$28,5,FALSE), 999999)</f>
        <v>0</v>
      </c>
      <c r="AF48" s="194">
        <f t="shared" si="69"/>
        <v>0</v>
      </c>
    </row>
    <row r="49" spans="1:32" ht="20.100000000000001" customHeight="1" outlineLevel="1" x14ac:dyDescent="0.2">
      <c r="A49" s="30" t="s">
        <v>472</v>
      </c>
      <c r="B49" s="26" t="s">
        <v>327</v>
      </c>
      <c r="C49" s="30">
        <v>112</v>
      </c>
      <c r="D49" s="30" t="str">
        <f t="shared" si="66"/>
        <v>3</v>
      </c>
      <c r="E49" s="30" t="str">
        <f t="shared" si="67"/>
        <v>32</v>
      </c>
      <c r="F49" s="26" t="str">
        <f t="shared" si="68"/>
        <v>323</v>
      </c>
      <c r="G49" s="86" t="s">
        <v>87</v>
      </c>
      <c r="H49" s="86" t="s">
        <v>89</v>
      </c>
      <c r="I49" s="87">
        <f>_xlfn.IFNA(VLOOKUP(G49,'Posebni dio-programska_2024'!A$46:D$67,4,FALSE),999999)</f>
        <v>4000</v>
      </c>
      <c r="J49" s="87">
        <v>4000</v>
      </c>
      <c r="K49" s="87">
        <v>4000</v>
      </c>
      <c r="L49" s="87">
        <f t="shared" si="5"/>
        <v>100</v>
      </c>
      <c r="M49" s="87">
        <f t="shared" si="6"/>
        <v>100</v>
      </c>
      <c r="N49" s="31"/>
      <c r="S49" s="87">
        <v>4000</v>
      </c>
      <c r="T49" s="87">
        <v>4000</v>
      </c>
      <c r="U49" s="87">
        <f t="shared" si="70"/>
        <v>0</v>
      </c>
      <c r="W49" s="192"/>
      <c r="Y49" s="87">
        <f>_xlfn.IFNA(VLOOKUP(G49,[4]IspisZahtjevaRviRazdobljaSumira!$A$43:$G$66,6,FALSE),999999)</f>
        <v>4000</v>
      </c>
      <c r="Z49" s="87">
        <f t="shared" si="71"/>
        <v>0</v>
      </c>
      <c r="AA49" s="55" t="s">
        <v>88</v>
      </c>
      <c r="AB49" s="195">
        <f t="shared" si="72"/>
        <v>112</v>
      </c>
      <c r="AC49" s="195" t="str">
        <f t="shared" si="73"/>
        <v>A212401</v>
      </c>
      <c r="AD49" s="87"/>
      <c r="AE49" s="87">
        <f>_xlfn.IFNA(VLOOKUP(G49,[5]Rashodi!$B$5:$F$28,5,FALSE), 999999)</f>
        <v>4000</v>
      </c>
      <c r="AF49" s="194">
        <f t="shared" si="69"/>
        <v>0</v>
      </c>
    </row>
    <row r="50" spans="1:32" ht="20.100000000000001" customHeight="1" outlineLevel="1" x14ac:dyDescent="0.2">
      <c r="A50" s="30" t="s">
        <v>472</v>
      </c>
      <c r="B50" s="26" t="s">
        <v>327</v>
      </c>
      <c r="C50" s="30">
        <v>112</v>
      </c>
      <c r="D50" s="30" t="str">
        <f t="shared" si="66"/>
        <v>3</v>
      </c>
      <c r="E50" s="30" t="str">
        <f t="shared" si="67"/>
        <v>32</v>
      </c>
      <c r="F50" s="26" t="str">
        <f t="shared" si="68"/>
        <v>323</v>
      </c>
      <c r="G50" s="86" t="s">
        <v>38</v>
      </c>
      <c r="H50" s="86" t="s">
        <v>40</v>
      </c>
      <c r="I50" s="87">
        <f>_xlfn.IFNA(VLOOKUP(G50,'Posebni dio-programska_2024'!A$46:D$67,4,FALSE),999999)</f>
        <v>10098.34</v>
      </c>
      <c r="J50" s="87">
        <v>10000</v>
      </c>
      <c r="K50" s="87">
        <v>10292.129999999999</v>
      </c>
      <c r="L50" s="87">
        <f t="shared" si="5"/>
        <v>101.91902827593444</v>
      </c>
      <c r="M50" s="87">
        <f t="shared" si="6"/>
        <v>102.92129999999999</v>
      </c>
      <c r="N50" s="31"/>
      <c r="S50" s="87">
        <v>10292.129999999999</v>
      </c>
      <c r="T50" s="87">
        <v>10292.129999999999</v>
      </c>
      <c r="U50" s="87">
        <f t="shared" si="70"/>
        <v>0</v>
      </c>
      <c r="W50" s="192"/>
      <c r="Y50" s="87">
        <f>_xlfn.IFNA(VLOOKUP(G50,[4]IspisZahtjevaRviRazdobljaSumira!$A$43:$G$66,6,FALSE),999999)</f>
        <v>10292.129999999999</v>
      </c>
      <c r="Z50" s="87">
        <f t="shared" si="71"/>
        <v>0</v>
      </c>
      <c r="AA50" s="55" t="s">
        <v>90</v>
      </c>
      <c r="AB50" s="195">
        <f t="shared" si="72"/>
        <v>112</v>
      </c>
      <c r="AC50" s="195" t="str">
        <f t="shared" si="73"/>
        <v>A212401</v>
      </c>
      <c r="AD50" s="87"/>
      <c r="AE50" s="87">
        <f>_xlfn.IFNA(VLOOKUP(G50,[5]Rashodi!$B$5:$F$28,5,FALSE), 999999)</f>
        <v>10292.129999999999</v>
      </c>
      <c r="AF50" s="194">
        <f t="shared" si="69"/>
        <v>0</v>
      </c>
    </row>
    <row r="51" spans="1:32" ht="20.100000000000001" customHeight="1" outlineLevel="1" x14ac:dyDescent="0.2">
      <c r="A51" s="30" t="s">
        <v>472</v>
      </c>
      <c r="B51" s="26" t="s">
        <v>327</v>
      </c>
      <c r="C51" s="30">
        <v>112</v>
      </c>
      <c r="D51" s="30" t="str">
        <f t="shared" si="66"/>
        <v>3</v>
      </c>
      <c r="E51" s="30" t="str">
        <f t="shared" si="67"/>
        <v>32</v>
      </c>
      <c r="F51" s="26" t="str">
        <f t="shared" si="68"/>
        <v>323</v>
      </c>
      <c r="G51" s="86" t="s">
        <v>91</v>
      </c>
      <c r="H51" s="86" t="s">
        <v>93</v>
      </c>
      <c r="I51" s="87">
        <v>0</v>
      </c>
      <c r="J51" s="87">
        <v>30000</v>
      </c>
      <c r="K51" s="87">
        <v>25094.49</v>
      </c>
      <c r="L51" s="87">
        <f t="shared" si="5"/>
        <v>0</v>
      </c>
      <c r="M51" s="87">
        <f t="shared" si="6"/>
        <v>83.648300000000006</v>
      </c>
      <c r="N51" s="31"/>
      <c r="S51" s="87">
        <v>25094.49</v>
      </c>
      <c r="T51" s="87">
        <v>25094.49</v>
      </c>
      <c r="U51" s="87">
        <f t="shared" si="70"/>
        <v>0</v>
      </c>
      <c r="W51" s="192"/>
      <c r="Y51" s="87">
        <f>_xlfn.IFNA(VLOOKUP(G51,[4]IspisZahtjevaRviRazdobljaSumira!$A$43:$G$66,6,FALSE),999999)</f>
        <v>25094.49</v>
      </c>
      <c r="Z51" s="87">
        <f t="shared" si="71"/>
        <v>0</v>
      </c>
      <c r="AA51" s="55" t="s">
        <v>92</v>
      </c>
      <c r="AB51" s="195">
        <f t="shared" si="72"/>
        <v>112</v>
      </c>
      <c r="AC51" s="195" t="str">
        <f t="shared" si="73"/>
        <v>A212401</v>
      </c>
      <c r="AD51" s="87"/>
      <c r="AE51" s="87">
        <f>_xlfn.IFNA(VLOOKUP(G51,[5]Rashodi!$B$5:$F$28,5,FALSE), 999999)</f>
        <v>25094.49</v>
      </c>
      <c r="AF51" s="194">
        <f t="shared" si="69"/>
        <v>0</v>
      </c>
    </row>
    <row r="52" spans="1:32" ht="20.100000000000001" customHeight="1" outlineLevel="1" x14ac:dyDescent="0.2">
      <c r="A52" s="30" t="s">
        <v>472</v>
      </c>
      <c r="B52" s="26" t="s">
        <v>327</v>
      </c>
      <c r="C52" s="30">
        <v>112</v>
      </c>
      <c r="D52" s="30" t="str">
        <f t="shared" si="66"/>
        <v>3</v>
      </c>
      <c r="E52" s="30" t="str">
        <f t="shared" si="67"/>
        <v>32</v>
      </c>
      <c r="F52" s="26" t="str">
        <f t="shared" si="68"/>
        <v>323</v>
      </c>
      <c r="G52" s="86" t="s">
        <v>94</v>
      </c>
      <c r="H52" s="86" t="s">
        <v>96</v>
      </c>
      <c r="I52" s="87">
        <f>_xlfn.IFNA(VLOOKUP(G52,'Posebni dio-programska_2024'!A$46:D$67,4,FALSE),999999)</f>
        <v>155732.72</v>
      </c>
      <c r="J52" s="87">
        <v>134300</v>
      </c>
      <c r="K52" s="87">
        <v>150922.5</v>
      </c>
      <c r="L52" s="87">
        <f t="shared" si="5"/>
        <v>96.911233554515704</v>
      </c>
      <c r="M52" s="87">
        <f t="shared" si="6"/>
        <v>112.37714072970961</v>
      </c>
      <c r="N52" s="31"/>
      <c r="S52" s="87">
        <f>K52+Z52</f>
        <v>141678.94</v>
      </c>
      <c r="T52" s="87">
        <v>141678.94</v>
      </c>
      <c r="U52" s="87">
        <f t="shared" si="70"/>
        <v>9243.5599999999977</v>
      </c>
      <c r="W52" s="192"/>
      <c r="Y52" s="87">
        <f>_xlfn.IFNA(VLOOKUP(G52,[4]IspisZahtjevaRviRazdobljaSumira!$A$43:$G$66,6,FALSE),999999)</f>
        <v>141678.94</v>
      </c>
      <c r="Z52" s="193">
        <f t="shared" si="71"/>
        <v>-9243.5599999999977</v>
      </c>
      <c r="AA52" s="55" t="s">
        <v>95</v>
      </c>
      <c r="AB52" s="195">
        <f t="shared" si="72"/>
        <v>112</v>
      </c>
      <c r="AC52" s="195" t="str">
        <f t="shared" si="73"/>
        <v>A212401</v>
      </c>
      <c r="AD52" s="193"/>
      <c r="AE52" s="87">
        <f>_xlfn.IFNA(VLOOKUP(G52,[5]Rashodi!$B$5:$F$28,5,FALSE), 999999)</f>
        <v>141678.94</v>
      </c>
      <c r="AF52" s="194">
        <f t="shared" si="69"/>
        <v>9243.56</v>
      </c>
    </row>
    <row r="53" spans="1:32" ht="20.100000000000001" customHeight="1" outlineLevel="1" x14ac:dyDescent="0.2">
      <c r="A53" s="30" t="s">
        <v>472</v>
      </c>
      <c r="B53" s="26" t="s">
        <v>327</v>
      </c>
      <c r="C53" s="30">
        <v>112</v>
      </c>
      <c r="D53" s="30" t="str">
        <f t="shared" si="66"/>
        <v>3</v>
      </c>
      <c r="E53" s="30" t="str">
        <f t="shared" si="67"/>
        <v>32</v>
      </c>
      <c r="F53" s="26" t="str">
        <f t="shared" si="68"/>
        <v>323</v>
      </c>
      <c r="G53" s="86" t="s">
        <v>97</v>
      </c>
      <c r="H53" s="86" t="s">
        <v>99</v>
      </c>
      <c r="I53" s="87">
        <f>_xlfn.IFNA(VLOOKUP(G53,'Posebni dio-programska_2024'!A$46:D$67,4,FALSE),999999)</f>
        <v>30000</v>
      </c>
      <c r="J53" s="87">
        <v>117500</v>
      </c>
      <c r="K53" s="87">
        <v>118372.66</v>
      </c>
      <c r="L53" s="87">
        <f t="shared" si="5"/>
        <v>394.57553333333334</v>
      </c>
      <c r="M53" s="87">
        <f t="shared" si="6"/>
        <v>100.74268936170212</v>
      </c>
      <c r="N53" s="31"/>
      <c r="S53" s="87">
        <v>118372.66</v>
      </c>
      <c r="T53" s="87">
        <v>118372.66</v>
      </c>
      <c r="U53" s="87">
        <f t="shared" si="70"/>
        <v>0</v>
      </c>
      <c r="W53" s="192"/>
      <c r="Y53" s="87">
        <f>_xlfn.IFNA(VLOOKUP(G53,[4]IspisZahtjevaRviRazdobljaSumira!$A$43:$G$66,6,FALSE),999999)</f>
        <v>118372.66</v>
      </c>
      <c r="Z53" s="87">
        <f t="shared" si="71"/>
        <v>0</v>
      </c>
      <c r="AA53" s="55" t="s">
        <v>98</v>
      </c>
      <c r="AB53" s="195">
        <f t="shared" si="72"/>
        <v>112</v>
      </c>
      <c r="AC53" s="195" t="str">
        <f t="shared" si="73"/>
        <v>A212401</v>
      </c>
      <c r="AD53" s="87"/>
      <c r="AE53" s="87">
        <f>_xlfn.IFNA(VLOOKUP(G53,[5]Rashodi!$B$5:$F$28,5,FALSE), 999999)</f>
        <v>118372.66</v>
      </c>
      <c r="AF53" s="194">
        <f t="shared" si="69"/>
        <v>0</v>
      </c>
    </row>
    <row r="54" spans="1:32" ht="20.100000000000001" customHeight="1" outlineLevel="1" x14ac:dyDescent="0.2">
      <c r="A54" s="30" t="s">
        <v>472</v>
      </c>
      <c r="B54" s="26" t="s">
        <v>327</v>
      </c>
      <c r="C54" s="30">
        <v>112</v>
      </c>
      <c r="D54" s="30" t="str">
        <f t="shared" si="66"/>
        <v>3</v>
      </c>
      <c r="E54" s="30" t="str">
        <f t="shared" si="67"/>
        <v>32</v>
      </c>
      <c r="F54" s="26" t="str">
        <f t="shared" si="68"/>
        <v>323</v>
      </c>
      <c r="G54" s="86" t="s">
        <v>100</v>
      </c>
      <c r="H54" s="86" t="s">
        <v>102</v>
      </c>
      <c r="I54" s="87">
        <f>_xlfn.IFNA(VLOOKUP(G54,'Posebni dio-programska_2024'!A$46:D$67,4,FALSE),999999)</f>
        <v>30200</v>
      </c>
      <c r="J54" s="87">
        <v>54000</v>
      </c>
      <c r="K54" s="87">
        <v>25415</v>
      </c>
      <c r="L54" s="87">
        <f t="shared" si="5"/>
        <v>84.155629139072857</v>
      </c>
      <c r="M54" s="87">
        <f t="shared" si="6"/>
        <v>47.064814814814817</v>
      </c>
      <c r="N54" s="31"/>
      <c r="S54" s="87">
        <v>25415</v>
      </c>
      <c r="T54" s="87">
        <v>25415</v>
      </c>
      <c r="U54" s="87">
        <f t="shared" si="70"/>
        <v>0</v>
      </c>
      <c r="W54" s="192"/>
      <c r="Y54" s="87">
        <f>_xlfn.IFNA(VLOOKUP(G54,[4]IspisZahtjevaRviRazdobljaSumira!$A$43:$G$66,6,FALSE),999999)</f>
        <v>25415</v>
      </c>
      <c r="Z54" s="87">
        <f t="shared" si="71"/>
        <v>0</v>
      </c>
      <c r="AA54" s="55" t="s">
        <v>101</v>
      </c>
      <c r="AB54" s="195">
        <f t="shared" si="72"/>
        <v>112</v>
      </c>
      <c r="AC54" s="195" t="str">
        <f t="shared" si="73"/>
        <v>A212401</v>
      </c>
      <c r="AD54" s="87"/>
      <c r="AE54" s="87">
        <f>_xlfn.IFNA(VLOOKUP(G54,[5]Rashodi!$B$5:$F$28,5,FALSE), 999999)</f>
        <v>25415</v>
      </c>
      <c r="AF54" s="194">
        <f t="shared" si="69"/>
        <v>0</v>
      </c>
    </row>
    <row r="55" spans="1:32" ht="20.100000000000001" customHeight="1" outlineLevel="1" x14ac:dyDescent="0.2">
      <c r="A55" s="30" t="s">
        <v>472</v>
      </c>
      <c r="B55" s="26" t="s">
        <v>327</v>
      </c>
      <c r="C55" s="30">
        <v>112</v>
      </c>
      <c r="D55" s="30" t="str">
        <f t="shared" si="66"/>
        <v>3</v>
      </c>
      <c r="E55" s="30" t="str">
        <f t="shared" si="67"/>
        <v>32</v>
      </c>
      <c r="F55" s="26" t="str">
        <f t="shared" si="68"/>
        <v>323</v>
      </c>
      <c r="G55" s="86" t="s">
        <v>41</v>
      </c>
      <c r="H55" s="86" t="s">
        <v>43</v>
      </c>
      <c r="I55" s="87">
        <f>_xlfn.IFNA(VLOOKUP(G55,'Posebni dio-programska_2024'!A$46:D$67,4,FALSE),999999)</f>
        <v>3000</v>
      </c>
      <c r="J55" s="87">
        <v>95600</v>
      </c>
      <c r="K55" s="87">
        <v>111712.14</v>
      </c>
      <c r="L55" s="87">
        <f t="shared" si="5"/>
        <v>3723.7380000000003</v>
      </c>
      <c r="M55" s="87">
        <f t="shared" si="6"/>
        <v>116.85370292887029</v>
      </c>
      <c r="N55" s="31"/>
      <c r="S55" s="87">
        <f>K55+Z55</f>
        <v>107777.74</v>
      </c>
      <c r="T55" s="87">
        <v>107777.74</v>
      </c>
      <c r="U55" s="87">
        <f t="shared" si="70"/>
        <v>3934.3999999999942</v>
      </c>
      <c r="W55" s="192"/>
      <c r="Y55" s="87">
        <f>_xlfn.IFNA(VLOOKUP(G55,[4]IspisZahtjevaRviRazdobljaSumira!$A$43:$G$66,6,FALSE),999999)</f>
        <v>107777.74</v>
      </c>
      <c r="Z55" s="193">
        <f t="shared" si="71"/>
        <v>-3934.3999999999942</v>
      </c>
      <c r="AA55" s="55" t="s">
        <v>103</v>
      </c>
      <c r="AB55" s="195">
        <f t="shared" si="72"/>
        <v>112</v>
      </c>
      <c r="AC55" s="195" t="str">
        <f t="shared" si="73"/>
        <v>A212401</v>
      </c>
      <c r="AD55" s="193"/>
      <c r="AE55" s="87">
        <f>_xlfn.IFNA(VLOOKUP(G55,[5]Rashodi!$B$5:$F$28,5,FALSE), 999999)</f>
        <v>107777.74</v>
      </c>
      <c r="AF55" s="194">
        <f t="shared" si="69"/>
        <v>3934.4</v>
      </c>
    </row>
    <row r="56" spans="1:32" ht="20.100000000000001" customHeight="1" outlineLevel="1" x14ac:dyDescent="0.2">
      <c r="A56" s="30" t="s">
        <v>472</v>
      </c>
      <c r="B56" s="26" t="s">
        <v>327</v>
      </c>
      <c r="C56" s="30">
        <v>112</v>
      </c>
      <c r="D56" s="30" t="str">
        <f t="shared" si="66"/>
        <v>3</v>
      </c>
      <c r="E56" s="30" t="str">
        <f t="shared" si="67"/>
        <v>32</v>
      </c>
      <c r="F56" s="26" t="str">
        <f t="shared" si="68"/>
        <v>323</v>
      </c>
      <c r="G56" s="86" t="s">
        <v>104</v>
      </c>
      <c r="H56" s="86" t="s">
        <v>106</v>
      </c>
      <c r="I56" s="87">
        <f>_xlfn.IFNA(VLOOKUP(G56,'Posebni dio-programska_2024'!A$46:D$67,4,FALSE),999999)</f>
        <v>30000</v>
      </c>
      <c r="J56" s="87">
        <v>50000</v>
      </c>
      <c r="K56" s="87">
        <v>50000</v>
      </c>
      <c r="L56" s="87">
        <f t="shared" si="5"/>
        <v>166.66666666666669</v>
      </c>
      <c r="M56" s="87">
        <f t="shared" si="6"/>
        <v>100</v>
      </c>
      <c r="N56" s="31"/>
      <c r="S56" s="87">
        <v>50000</v>
      </c>
      <c r="T56" s="87">
        <v>50000</v>
      </c>
      <c r="U56" s="87">
        <f t="shared" si="70"/>
        <v>0</v>
      </c>
      <c r="W56" s="192"/>
      <c r="Y56" s="87">
        <f>_xlfn.IFNA(VLOOKUP(G56,[4]IspisZahtjevaRviRazdobljaSumira!$A$43:$G$66,6,FALSE),999999)</f>
        <v>50000</v>
      </c>
      <c r="Z56" s="87">
        <f t="shared" si="71"/>
        <v>0</v>
      </c>
      <c r="AA56" s="55" t="s">
        <v>105</v>
      </c>
      <c r="AB56" s="195">
        <f t="shared" si="72"/>
        <v>112</v>
      </c>
      <c r="AC56" s="195" t="str">
        <f t="shared" si="73"/>
        <v>A212401</v>
      </c>
      <c r="AD56" s="87"/>
      <c r="AE56" s="87">
        <f>_xlfn.IFNA(VLOOKUP(G56,[5]Rashodi!$B$5:$F$28,5,FALSE), 999999)</f>
        <v>50000</v>
      </c>
      <c r="AF56" s="194">
        <f t="shared" si="69"/>
        <v>0</v>
      </c>
    </row>
    <row r="57" spans="1:32" ht="30" customHeight="1" outlineLevel="1" x14ac:dyDescent="0.2">
      <c r="A57" s="30" t="s">
        <v>472</v>
      </c>
      <c r="B57" s="26" t="s">
        <v>327</v>
      </c>
      <c r="C57" s="30">
        <v>112</v>
      </c>
      <c r="D57" s="30" t="str">
        <f t="shared" si="66"/>
        <v>3</v>
      </c>
      <c r="E57" s="30" t="str">
        <f t="shared" si="67"/>
        <v>32</v>
      </c>
      <c r="F57" s="26" t="str">
        <f t="shared" si="68"/>
        <v>329</v>
      </c>
      <c r="G57" s="86" t="s">
        <v>107</v>
      </c>
      <c r="H57" s="86" t="s">
        <v>109</v>
      </c>
      <c r="I57" s="87">
        <f>_xlfn.IFNA(VLOOKUP(G57,'Posebni dio-programska_2024'!A$46:D$67,4,FALSE),999999)</f>
        <v>6122.57</v>
      </c>
      <c r="J57" s="87">
        <v>4000</v>
      </c>
      <c r="K57" s="87">
        <v>5083.92</v>
      </c>
      <c r="L57" s="87">
        <f t="shared" si="5"/>
        <v>83.035718660627808</v>
      </c>
      <c r="M57" s="87">
        <f t="shared" si="6"/>
        <v>127.098</v>
      </c>
      <c r="N57" s="31"/>
      <c r="S57" s="87">
        <v>5083.92</v>
      </c>
      <c r="T57" s="87">
        <v>5921.6</v>
      </c>
      <c r="U57" s="87">
        <f t="shared" si="70"/>
        <v>-837.68000000000029</v>
      </c>
      <c r="W57" s="192"/>
      <c r="Y57" s="87">
        <f>_xlfn.IFNA(VLOOKUP(G57,[4]IspisZahtjevaRviRazdobljaSumira!$A$43:$G$66,6,FALSE),999999)</f>
        <v>5921.6</v>
      </c>
      <c r="Z57" s="87">
        <f t="shared" si="71"/>
        <v>837.68000000000029</v>
      </c>
      <c r="AA57" s="55" t="s">
        <v>108</v>
      </c>
      <c r="AB57" s="195">
        <f t="shared" si="72"/>
        <v>112</v>
      </c>
      <c r="AC57" s="195" t="str">
        <f t="shared" si="73"/>
        <v>A212401</v>
      </c>
      <c r="AD57" s="193">
        <v>-837.68000000000029</v>
      </c>
      <c r="AE57" s="87">
        <f>_xlfn.IFNA(VLOOKUP(G57,[5]Rashodi!$B$5:$F$28,5,FALSE), 999999)</f>
        <v>5083.92</v>
      </c>
      <c r="AF57" s="194">
        <f t="shared" si="69"/>
        <v>0</v>
      </c>
    </row>
    <row r="58" spans="1:32" ht="20.100000000000001" customHeight="1" outlineLevel="1" x14ac:dyDescent="0.2">
      <c r="A58" s="30" t="s">
        <v>472</v>
      </c>
      <c r="B58" s="26" t="s">
        <v>327</v>
      </c>
      <c r="C58" s="30">
        <v>112</v>
      </c>
      <c r="D58" s="30" t="str">
        <f t="shared" si="66"/>
        <v>3</v>
      </c>
      <c r="E58" s="30" t="str">
        <f t="shared" si="67"/>
        <v>32</v>
      </c>
      <c r="F58" s="26" t="str">
        <f t="shared" si="68"/>
        <v>329</v>
      </c>
      <c r="G58" s="86" t="s">
        <v>110</v>
      </c>
      <c r="H58" s="86" t="s">
        <v>112</v>
      </c>
      <c r="I58" s="87">
        <f>_xlfn.IFNA(VLOOKUP(G58,'Posebni dio-programska_2024'!A$46:D$67,4,FALSE),999999)</f>
        <v>23113.919999999998</v>
      </c>
      <c r="J58" s="87">
        <v>25000</v>
      </c>
      <c r="K58" s="87">
        <v>24824.87</v>
      </c>
      <c r="L58" s="87">
        <f t="shared" si="5"/>
        <v>107.40224938045992</v>
      </c>
      <c r="M58" s="87">
        <f t="shared" si="6"/>
        <v>99.299479999999988</v>
      </c>
      <c r="N58" s="31"/>
      <c r="S58" s="87">
        <v>24824.87</v>
      </c>
      <c r="T58" s="87">
        <v>24824.87</v>
      </c>
      <c r="U58" s="87">
        <f t="shared" si="70"/>
        <v>0</v>
      </c>
      <c r="W58" s="192"/>
      <c r="Y58" s="87">
        <f>_xlfn.IFNA(VLOOKUP(G58,[4]IspisZahtjevaRviRazdobljaSumira!$A$43:$G$66,6,FALSE),999999)</f>
        <v>24824.87</v>
      </c>
      <c r="Z58" s="87">
        <f t="shared" si="71"/>
        <v>0</v>
      </c>
      <c r="AA58" s="55" t="s">
        <v>111</v>
      </c>
      <c r="AB58" s="195">
        <f t="shared" si="72"/>
        <v>112</v>
      </c>
      <c r="AC58" s="195" t="str">
        <f t="shared" si="73"/>
        <v>A212401</v>
      </c>
      <c r="AD58" s="87"/>
      <c r="AE58" s="87">
        <f>_xlfn.IFNA(VLOOKUP(G58,[5]Rashodi!$B$5:$F$28,5,FALSE), 999999)</f>
        <v>24824.87</v>
      </c>
      <c r="AF58" s="194">
        <f t="shared" si="69"/>
        <v>0</v>
      </c>
    </row>
    <row r="59" spans="1:32" ht="20.100000000000001" customHeight="1" outlineLevel="1" x14ac:dyDescent="0.2">
      <c r="A59" s="30" t="s">
        <v>472</v>
      </c>
      <c r="B59" s="26" t="s">
        <v>327</v>
      </c>
      <c r="C59" s="30">
        <v>112</v>
      </c>
      <c r="D59" s="30" t="str">
        <f t="shared" si="66"/>
        <v>3</v>
      </c>
      <c r="E59" s="30" t="str">
        <f t="shared" si="67"/>
        <v>32</v>
      </c>
      <c r="F59" s="26" t="str">
        <f t="shared" si="68"/>
        <v>329</v>
      </c>
      <c r="G59" s="86" t="s">
        <v>113</v>
      </c>
      <c r="H59" s="86" t="s">
        <v>115</v>
      </c>
      <c r="I59" s="87">
        <f>_xlfn.IFNA(VLOOKUP(G59,'Posebni dio-programska_2024'!A$46:D$67,4,FALSE),999999)</f>
        <v>0</v>
      </c>
      <c r="J59" s="87">
        <v>0</v>
      </c>
      <c r="K59" s="87"/>
      <c r="L59" s="87">
        <f t="shared" si="5"/>
        <v>0</v>
      </c>
      <c r="M59" s="87">
        <f t="shared" si="6"/>
        <v>0</v>
      </c>
      <c r="N59" s="31"/>
      <c r="S59" s="87"/>
      <c r="T59" s="87">
        <v>0</v>
      </c>
      <c r="U59" s="87">
        <f t="shared" si="70"/>
        <v>0</v>
      </c>
      <c r="W59" s="192"/>
      <c r="Y59" s="87">
        <f>_xlfn.IFNA(VLOOKUP(G59,[4]IspisZahtjevaRviRazdobljaSumira!$A$43:$G$66,6,FALSE),999999)</f>
        <v>0</v>
      </c>
      <c r="Z59" s="87">
        <f t="shared" si="71"/>
        <v>0</v>
      </c>
      <c r="AA59" s="55" t="s">
        <v>114</v>
      </c>
      <c r="AB59" s="195">
        <f t="shared" si="72"/>
        <v>112</v>
      </c>
      <c r="AC59" s="195" t="str">
        <f t="shared" si="73"/>
        <v>A212401</v>
      </c>
      <c r="AD59" s="87"/>
      <c r="AE59" s="87">
        <f>_xlfn.IFNA(VLOOKUP(G59,[5]Rashodi!$B$5:$F$28,5,FALSE), 999999)</f>
        <v>0</v>
      </c>
      <c r="AF59" s="194">
        <f t="shared" si="69"/>
        <v>0</v>
      </c>
    </row>
    <row r="60" spans="1:32" ht="20.100000000000001" customHeight="1" outlineLevel="1" x14ac:dyDescent="0.2">
      <c r="A60" s="30" t="s">
        <v>472</v>
      </c>
      <c r="B60" s="26" t="s">
        <v>327</v>
      </c>
      <c r="C60" s="30">
        <v>112</v>
      </c>
      <c r="D60" s="30" t="str">
        <f t="shared" si="66"/>
        <v>3</v>
      </c>
      <c r="E60" s="30" t="str">
        <f t="shared" si="67"/>
        <v>32</v>
      </c>
      <c r="F60" s="26" t="str">
        <f t="shared" si="68"/>
        <v>329</v>
      </c>
      <c r="G60" s="86" t="s">
        <v>116</v>
      </c>
      <c r="H60" s="86" t="s">
        <v>118</v>
      </c>
      <c r="I60" s="87">
        <f>_xlfn.IFNA(VLOOKUP(G60,'Posebni dio-programska_2024'!A$46:D$67,4,FALSE),999999)</f>
        <v>1000</v>
      </c>
      <c r="J60" s="87">
        <v>1000</v>
      </c>
      <c r="K60" s="87">
        <v>14618</v>
      </c>
      <c r="L60" s="87">
        <f t="shared" si="5"/>
        <v>1461.8</v>
      </c>
      <c r="M60" s="87">
        <f t="shared" si="6"/>
        <v>1461.8</v>
      </c>
      <c r="N60" s="31"/>
      <c r="S60" s="87">
        <v>14618</v>
      </c>
      <c r="T60" s="87">
        <v>14618</v>
      </c>
      <c r="U60" s="87">
        <f t="shared" si="70"/>
        <v>0</v>
      </c>
      <c r="W60" s="192"/>
      <c r="Y60" s="87">
        <f>_xlfn.IFNA(VLOOKUP(G60,[4]IspisZahtjevaRviRazdobljaSumira!$A$43:$G$66,6,FALSE),999999)</f>
        <v>14618</v>
      </c>
      <c r="Z60" s="87">
        <f t="shared" si="71"/>
        <v>0</v>
      </c>
      <c r="AA60" s="55" t="s">
        <v>117</v>
      </c>
      <c r="AB60" s="195">
        <f t="shared" si="72"/>
        <v>112</v>
      </c>
      <c r="AC60" s="195" t="str">
        <f t="shared" si="73"/>
        <v>A212401</v>
      </c>
      <c r="AD60" s="87"/>
      <c r="AE60" s="87">
        <f>_xlfn.IFNA(VLOOKUP(G60,[5]Rashodi!$B$5:$F$28,5,FALSE), 999999)</f>
        <v>14618</v>
      </c>
      <c r="AF60" s="194">
        <f t="shared" si="69"/>
        <v>0</v>
      </c>
    </row>
    <row r="61" spans="1:32" ht="20.100000000000001" customHeight="1" outlineLevel="1" x14ac:dyDescent="0.2">
      <c r="A61" s="30" t="s">
        <v>472</v>
      </c>
      <c r="B61" s="26" t="s">
        <v>327</v>
      </c>
      <c r="C61" s="30">
        <v>112</v>
      </c>
      <c r="D61" s="30" t="str">
        <f t="shared" si="66"/>
        <v>3</v>
      </c>
      <c r="E61" s="30" t="str">
        <f t="shared" si="67"/>
        <v>34</v>
      </c>
      <c r="F61" s="26" t="str">
        <f t="shared" si="68"/>
        <v>343</v>
      </c>
      <c r="G61" s="86" t="s">
        <v>119</v>
      </c>
      <c r="H61" s="86" t="s">
        <v>121</v>
      </c>
      <c r="I61" s="87">
        <f>_xlfn.IFNA(VLOOKUP(G61,'Posebni dio-programska_2024'!A$46:D$67,4,FALSE),999999)</f>
        <v>1000</v>
      </c>
      <c r="J61" s="87">
        <v>1000</v>
      </c>
      <c r="K61" s="87">
        <v>1000</v>
      </c>
      <c r="L61" s="87">
        <f t="shared" si="5"/>
        <v>100</v>
      </c>
      <c r="M61" s="87">
        <f t="shared" si="6"/>
        <v>100</v>
      </c>
      <c r="N61" s="31"/>
      <c r="S61" s="87">
        <v>1000</v>
      </c>
      <c r="T61" s="87">
        <v>1000</v>
      </c>
      <c r="U61" s="87">
        <f t="shared" si="70"/>
        <v>0</v>
      </c>
      <c r="W61" s="192"/>
      <c r="Y61" s="87">
        <f>_xlfn.IFNA(VLOOKUP(G61,[4]IspisZahtjevaRviRazdobljaSumira!$A$43:$G$66,6,FALSE),999999)</f>
        <v>1000</v>
      </c>
      <c r="Z61" s="87">
        <f t="shared" si="71"/>
        <v>0</v>
      </c>
      <c r="AA61" s="55" t="s">
        <v>120</v>
      </c>
      <c r="AB61" s="195">
        <f t="shared" si="72"/>
        <v>112</v>
      </c>
      <c r="AC61" s="195" t="str">
        <f t="shared" si="73"/>
        <v>A212401</v>
      </c>
      <c r="AD61" s="87"/>
      <c r="AE61" s="87">
        <f>_xlfn.IFNA(VLOOKUP(G61,[5]Rashodi!$B$5:$F$28,5,FALSE), 999999)</f>
        <v>1000</v>
      </c>
      <c r="AF61" s="194">
        <f t="shared" si="69"/>
        <v>0</v>
      </c>
    </row>
    <row r="62" spans="1:32" ht="30" customHeight="1" outlineLevel="1" x14ac:dyDescent="0.2">
      <c r="A62" s="30" t="s">
        <v>472</v>
      </c>
      <c r="B62" s="26" t="s">
        <v>327</v>
      </c>
      <c r="C62" s="30">
        <v>112</v>
      </c>
      <c r="D62" s="30" t="str">
        <f t="shared" si="66"/>
        <v>3</v>
      </c>
      <c r="E62" s="30" t="str">
        <f t="shared" si="67"/>
        <v>36</v>
      </c>
      <c r="F62" s="26" t="str">
        <f t="shared" si="68"/>
        <v>369</v>
      </c>
      <c r="G62" s="86" t="s">
        <v>122</v>
      </c>
      <c r="H62" s="86" t="s">
        <v>124</v>
      </c>
      <c r="I62" s="87">
        <f>_xlfn.IFNA(VLOOKUP(G62,'Posebni dio-programska_2024'!A$46:D$67,4,FALSE),999999)</f>
        <v>0</v>
      </c>
      <c r="J62" s="87">
        <v>0</v>
      </c>
      <c r="K62" s="87"/>
      <c r="L62" s="87">
        <f t="shared" si="5"/>
        <v>0</v>
      </c>
      <c r="M62" s="87">
        <f t="shared" si="6"/>
        <v>0</v>
      </c>
      <c r="N62" s="31"/>
      <c r="S62" s="87"/>
      <c r="T62" s="87">
        <v>0</v>
      </c>
      <c r="U62" s="87">
        <f t="shared" si="70"/>
        <v>0</v>
      </c>
      <c r="W62" s="192"/>
      <c r="Y62" s="87">
        <f>_xlfn.IFNA(VLOOKUP(G62,[4]IspisZahtjevaRviRazdobljaSumira!$A$43:$G$66,6,FALSE),999999)</f>
        <v>0</v>
      </c>
      <c r="Z62" s="87">
        <f t="shared" si="71"/>
        <v>0</v>
      </c>
      <c r="AA62" s="55" t="s">
        <v>123</v>
      </c>
      <c r="AB62" s="195">
        <f t="shared" si="72"/>
        <v>112</v>
      </c>
      <c r="AC62" s="195" t="str">
        <f t="shared" si="73"/>
        <v>A212401</v>
      </c>
      <c r="AD62" s="87"/>
      <c r="AE62" s="87">
        <f>_xlfn.IFNA(VLOOKUP(G62,[5]Rashodi!$B$5:$F$28,5,FALSE), 999999)</f>
        <v>0</v>
      </c>
      <c r="AF62" s="194">
        <f t="shared" si="69"/>
        <v>0</v>
      </c>
    </row>
    <row r="63" spans="1:32" ht="24.95" customHeight="1" x14ac:dyDescent="0.2">
      <c r="A63" s="30"/>
      <c r="G63" s="230" t="s">
        <v>125</v>
      </c>
      <c r="H63" s="230"/>
      <c r="I63" s="79">
        <f>SUMIFS(I64:I234,$B64:$B234,"A212401",$C64:$C234,"311")</f>
        <v>18794.580000000002</v>
      </c>
      <c r="J63" s="79">
        <f>SUMIFS(J64:J234,$B64:$B234,"A212401",$C64:$C234,"311")</f>
        <v>18300</v>
      </c>
      <c r="K63" s="79">
        <f>SUMIFS(K64:K234,$B64:$B234,"A212401",$C64:$C234,"311")</f>
        <v>8389.26</v>
      </c>
      <c r="L63" s="79">
        <f t="shared" si="5"/>
        <v>44.636592038768619</v>
      </c>
      <c r="M63" s="79">
        <f t="shared" si="6"/>
        <v>45.842950819672133</v>
      </c>
      <c r="S63" s="79">
        <f>SUMIFS(S64:S234,$B64:$B234,"A212401",$C64:$C234,"311")</f>
        <v>8389.26</v>
      </c>
      <c r="T63" s="79">
        <f>SUMIFS(T64:T234,$B64:$B234,"A212401",$C64:$C234,"311")</f>
        <v>8389.26</v>
      </c>
      <c r="U63" s="79">
        <f>SUMIFS(U64:U234,$B64:$B234,"A212401",$C64:$C234,"311")</f>
        <v>0</v>
      </c>
      <c r="Y63" s="79">
        <f>SUMIFS(Y64:Y234,$B64:$B234,"A212401",$C64:$C234,"311")</f>
        <v>8389.26</v>
      </c>
      <c r="Z63" s="79">
        <f>SUMIFS(Z64:Z234,$B64:$B234,"A212401",$C64:$C234,"311")</f>
        <v>0</v>
      </c>
      <c r="AA63" s="55"/>
      <c r="AB63" s="195">
        <f t="shared" si="72"/>
        <v>0</v>
      </c>
      <c r="AC63" s="195"/>
      <c r="AD63" s="79">
        <f>SUMIFS(AD64:AD234,$B64:$B234,"A212401",$C64:$C234,"311")</f>
        <v>0</v>
      </c>
      <c r="AE63" s="79">
        <f>SUMIFS(AE64:AE234,$B64:$B234,"A212401",$C64:$C234,"311")</f>
        <v>8389.26</v>
      </c>
      <c r="AF63" s="194">
        <f t="shared" si="69"/>
        <v>0</v>
      </c>
    </row>
    <row r="64" spans="1:32" ht="20.100000000000001" customHeight="1" outlineLevel="1" x14ac:dyDescent="0.2">
      <c r="A64" s="30" t="s">
        <v>472</v>
      </c>
      <c r="B64" s="26" t="s">
        <v>327</v>
      </c>
      <c r="C64" s="30">
        <v>311</v>
      </c>
      <c r="D64" s="30" t="str">
        <f>LEFT(G64,1)</f>
        <v>3</v>
      </c>
      <c r="E64" s="30" t="str">
        <f>LEFT(G64,2)</f>
        <v>32</v>
      </c>
      <c r="F64" s="26" t="str">
        <f t="shared" ref="F64:F129" si="74">LEFT(G64,3)</f>
        <v>323</v>
      </c>
      <c r="G64" s="86" t="s">
        <v>126</v>
      </c>
      <c r="H64" s="86" t="s">
        <v>128</v>
      </c>
      <c r="I64" s="87">
        <v>18794.580000000002</v>
      </c>
      <c r="J64" s="87">
        <v>18300</v>
      </c>
      <c r="K64" s="87">
        <v>8389.26</v>
      </c>
      <c r="L64" s="87">
        <f t="shared" si="5"/>
        <v>44.636592038768619</v>
      </c>
      <c r="M64" s="87">
        <f t="shared" si="6"/>
        <v>45.842950819672133</v>
      </c>
      <c r="N64" s="31"/>
      <c r="S64" s="87">
        <v>8389.26</v>
      </c>
      <c r="T64" s="87">
        <v>8389.26</v>
      </c>
      <c r="U64" s="87">
        <f t="shared" si="70"/>
        <v>0</v>
      </c>
      <c r="Y64" s="87">
        <f>_xlfn.IFNA(VLOOKUP(G64,[4]IspisZahtjevaRviRazdobljaSumira!$A$68:$G$68,6,FALSE),999999)</f>
        <v>8389.26</v>
      </c>
      <c r="Z64" s="87">
        <f>Y64-K64</f>
        <v>0</v>
      </c>
      <c r="AA64" s="55" t="s">
        <v>127</v>
      </c>
      <c r="AB64" s="195">
        <f t="shared" si="72"/>
        <v>311</v>
      </c>
      <c r="AC64" s="195"/>
      <c r="AD64" s="87">
        <f>U64</f>
        <v>0</v>
      </c>
      <c r="AE64" s="87">
        <f>_xlfn.IFNA(VLOOKUP(G64,[5]Rashodi!$B$30:$F$30,5,FALSE), 999999)</f>
        <v>8389.26</v>
      </c>
      <c r="AF64" s="194">
        <f t="shared" si="69"/>
        <v>0</v>
      </c>
    </row>
    <row r="65" spans="1:33" ht="24.95" customHeight="1" x14ac:dyDescent="0.2">
      <c r="A65" s="30" t="s">
        <v>472</v>
      </c>
      <c r="G65" s="230" t="s">
        <v>129</v>
      </c>
      <c r="H65" s="230"/>
      <c r="I65" s="79">
        <f>SUMIFS(I66:I236,$B66:$B236,"A212401",$C66:$C236,"431")</f>
        <v>784198.74999999988</v>
      </c>
      <c r="J65" s="79">
        <f>SUMIFS(J66:J236,$B66:$B236,"A212401",$C66:$C236,"431")</f>
        <v>963300</v>
      </c>
      <c r="K65" s="79">
        <f>SUMIFS(K66:K236,$B66:$B236,"A212401",$C66:$C236,"431")</f>
        <v>824298.08999999985</v>
      </c>
      <c r="L65" s="79">
        <f t="shared" si="5"/>
        <v>105.11341544474536</v>
      </c>
      <c r="M65" s="79">
        <f t="shared" si="6"/>
        <v>85.570236686390516</v>
      </c>
      <c r="S65" s="79">
        <f>SUMIFS(S66:S236,$B66:$B236,"A212401",$C66:$C236,"431")</f>
        <v>851852.84999999963</v>
      </c>
      <c r="T65" s="79">
        <f>SUMIFS(T66:T236,$B66:$B236,"A212401",$C66:$C236,"431")</f>
        <v>824298.08999999985</v>
      </c>
      <c r="U65" s="79">
        <f>SUMIFS(U66:U236,$B66:$B236,"A212401",$C66:$C236,"431")</f>
        <v>0</v>
      </c>
      <c r="Y65" s="79">
        <f>SUMIFS(Y66:Y236,$B66:$B236,"A212401",$C66:$C236,"431")</f>
        <v>824298.08999999985</v>
      </c>
      <c r="Z65" s="79">
        <f>SUMIFS(Z66:Z236,$B66:$B236,"A212401",$C66:$C236,"431")</f>
        <v>0</v>
      </c>
      <c r="AA65" s="55"/>
      <c r="AB65" s="195">
        <f t="shared" si="72"/>
        <v>0</v>
      </c>
      <c r="AC65" s="195"/>
      <c r="AD65" s="79">
        <f>SUMIFS(AD66:AD236,$B66:$B236,"A212401",$C66:$C236,"431")</f>
        <v>14885.650000000031</v>
      </c>
      <c r="AE65" s="79">
        <f>SUMIFS(AE66:AE236,$B66:$B236,"A212401",$C66:$C236,"431")</f>
        <v>852577.29999999981</v>
      </c>
      <c r="AF65" s="194">
        <f t="shared" si="69"/>
        <v>-14885.65</v>
      </c>
      <c r="AG65" s="79">
        <f>SUBTOTAL(9,AD67:AD81)</f>
        <v>14885.650000000031</v>
      </c>
    </row>
    <row r="66" spans="1:33" ht="20.100000000000001" customHeight="1" outlineLevel="1" x14ac:dyDescent="0.2">
      <c r="A66" s="30" t="s">
        <v>472</v>
      </c>
      <c r="B66" s="26" t="s">
        <v>327</v>
      </c>
      <c r="C66" s="30">
        <v>431</v>
      </c>
      <c r="D66" s="30" t="str">
        <f t="shared" ref="D66:D91" si="75">LEFT(G66,1)</f>
        <v>3</v>
      </c>
      <c r="E66" s="30" t="str">
        <f t="shared" ref="E66:E91" si="76">LEFT(G66,2)</f>
        <v>32</v>
      </c>
      <c r="F66" s="26" t="str">
        <f t="shared" si="74"/>
        <v>321</v>
      </c>
      <c r="G66" s="86" t="s">
        <v>130</v>
      </c>
      <c r="H66" s="86" t="s">
        <v>132</v>
      </c>
      <c r="I66" s="87">
        <f>_xlfn.IFNA(VLOOKUP(G66,'Posebni dio-programska_2024'!A$71:D$95,4,FALSE),999999)</f>
        <v>18997.830000000002</v>
      </c>
      <c r="J66" s="87">
        <v>12000</v>
      </c>
      <c r="K66" s="87">
        <v>21376.04</v>
      </c>
      <c r="L66" s="87">
        <f t="shared" si="5"/>
        <v>112.51832446126741</v>
      </c>
      <c r="M66" s="87">
        <f t="shared" si="6"/>
        <v>178.13366666666667</v>
      </c>
      <c r="N66" s="31"/>
      <c r="S66" s="87">
        <v>21376.04</v>
      </c>
      <c r="T66" s="87">
        <v>21376.04</v>
      </c>
      <c r="U66" s="87">
        <f t="shared" si="70"/>
        <v>0</v>
      </c>
      <c r="Y66" s="87">
        <f>_xlfn.IFNA(VLOOKUP(G66,[4]IspisZahtjevaRviRazdobljaSumira!$A$70:$G$95,6,FALSE),999999)</f>
        <v>21376.04</v>
      </c>
      <c r="Z66" s="87">
        <f t="shared" ref="Z66:Z91" si="77">Y66-K66</f>
        <v>0</v>
      </c>
      <c r="AA66" s="55" t="s">
        <v>131</v>
      </c>
      <c r="AB66" s="195">
        <f t="shared" si="72"/>
        <v>431</v>
      </c>
      <c r="AC66" s="195"/>
      <c r="AD66" s="87">
        <f t="shared" ref="AD66:AD91" si="78">U66</f>
        <v>0</v>
      </c>
      <c r="AE66" s="87">
        <f>_xlfn.IFNA(VLOOKUP(G66,[5]Rashodi!$B$32:$F$57,5,FALSE), 0)</f>
        <v>21376.04</v>
      </c>
      <c r="AF66" s="194">
        <f t="shared" si="69"/>
        <v>0</v>
      </c>
    </row>
    <row r="67" spans="1:33" ht="20.100000000000001" customHeight="1" outlineLevel="1" x14ac:dyDescent="0.2">
      <c r="A67" s="30" t="s">
        <v>472</v>
      </c>
      <c r="B67" s="26" t="s">
        <v>327</v>
      </c>
      <c r="C67" s="30">
        <v>431</v>
      </c>
      <c r="D67" s="30" t="str">
        <f>LEFT(G67,1)</f>
        <v>3</v>
      </c>
      <c r="E67" s="30" t="str">
        <f>LEFT(G67,2)</f>
        <v>32</v>
      </c>
      <c r="F67" s="26" t="str">
        <f>LEFT(G67,3)</f>
        <v>321</v>
      </c>
      <c r="G67" s="95">
        <v>3212</v>
      </c>
      <c r="H67" s="86" t="s">
        <v>68</v>
      </c>
      <c r="I67" s="87">
        <v>0</v>
      </c>
      <c r="J67" s="87"/>
      <c r="K67" s="87">
        <v>9.4499999999999993</v>
      </c>
      <c r="L67" s="87">
        <f t="shared" si="5"/>
        <v>0</v>
      </c>
      <c r="M67" s="87">
        <f t="shared" si="6"/>
        <v>0</v>
      </c>
      <c r="N67" s="31"/>
      <c r="S67" s="87">
        <f>9.45+13392.34</f>
        <v>13401.79</v>
      </c>
      <c r="T67" s="87">
        <v>9.4499999999999993</v>
      </c>
      <c r="U67" s="87">
        <f t="shared" si="70"/>
        <v>0</v>
      </c>
      <c r="Y67" s="87">
        <f>_xlfn.IFNA(VLOOKUP(G67,[4]IspisZahtjevaRviRazdobljaSumira!$A$70:$G$95,6,FALSE),999999)</f>
        <v>9.4499999999999993</v>
      </c>
      <c r="Z67" s="87">
        <f t="shared" si="77"/>
        <v>0</v>
      </c>
      <c r="AA67" s="55" t="s">
        <v>563</v>
      </c>
      <c r="AB67" s="195">
        <f t="shared" si="72"/>
        <v>431</v>
      </c>
      <c r="AC67" s="195"/>
      <c r="AD67" s="193">
        <v>9.4499999999999993</v>
      </c>
      <c r="AE67" s="87">
        <f>_xlfn.IFNA(VLOOKUP(G67,[5]Rashodi!$B$32:$F$57,5,FALSE), 0)</f>
        <v>13401.79</v>
      </c>
      <c r="AF67" s="194">
        <f t="shared" si="69"/>
        <v>-9.4499999999999993</v>
      </c>
    </row>
    <row r="68" spans="1:33" ht="20.100000000000001" customHeight="1" outlineLevel="1" x14ac:dyDescent="0.2">
      <c r="A68" s="30" t="s">
        <v>472</v>
      </c>
      <c r="B68" s="26" t="s">
        <v>327</v>
      </c>
      <c r="C68" s="30">
        <v>431</v>
      </c>
      <c r="D68" s="30" t="str">
        <f t="shared" si="75"/>
        <v>3</v>
      </c>
      <c r="E68" s="30" t="str">
        <f t="shared" si="76"/>
        <v>32</v>
      </c>
      <c r="F68" s="26" t="str">
        <f t="shared" si="74"/>
        <v>321</v>
      </c>
      <c r="G68" s="86" t="s">
        <v>69</v>
      </c>
      <c r="H68" s="86" t="s">
        <v>71</v>
      </c>
      <c r="I68" s="87">
        <f>_xlfn.IFNA(VLOOKUP(G68,'Posebni dio-programska_2024'!A$71:D$95,4,FALSE),999999)</f>
        <v>11201.06</v>
      </c>
      <c r="J68" s="87">
        <v>5000</v>
      </c>
      <c r="K68" s="87">
        <f>1051.75-571.75-258.57</f>
        <v>221.43</v>
      </c>
      <c r="L68" s="87">
        <f t="shared" si="5"/>
        <v>1.9768664751371747</v>
      </c>
      <c r="M68" s="87">
        <f t="shared" si="6"/>
        <v>4.4286000000000003</v>
      </c>
      <c r="N68" s="31"/>
      <c r="S68" s="87">
        <f>1051.75-571.75-258.57</f>
        <v>221.43</v>
      </c>
      <c r="T68" s="190">
        <f>1051.75-571.75-258.57</f>
        <v>221.43</v>
      </c>
      <c r="U68" s="87">
        <f t="shared" si="70"/>
        <v>0</v>
      </c>
      <c r="Y68" s="87">
        <f>_xlfn.IFNA(VLOOKUP(G68,[4]IspisZahtjevaRviRazdobljaSumira!$A$70:$G$95,6,FALSE),999999)</f>
        <v>221.43</v>
      </c>
      <c r="Z68" s="87">
        <f t="shared" si="77"/>
        <v>0</v>
      </c>
      <c r="AA68" s="55" t="s">
        <v>133</v>
      </c>
      <c r="AB68" s="195">
        <f t="shared" si="72"/>
        <v>431</v>
      </c>
      <c r="AC68" s="195"/>
      <c r="AD68" s="87">
        <f t="shared" si="78"/>
        <v>0</v>
      </c>
      <c r="AE68" s="87">
        <f>_xlfn.IFNA(VLOOKUP(G68,[5]Rashodi!$B$32:$F$57,5,FALSE), 0)</f>
        <v>221.43</v>
      </c>
      <c r="AF68" s="194">
        <f t="shared" si="69"/>
        <v>0</v>
      </c>
    </row>
    <row r="69" spans="1:33" ht="20.100000000000001" customHeight="1" outlineLevel="1" x14ac:dyDescent="0.2">
      <c r="A69" s="30" t="s">
        <v>472</v>
      </c>
      <c r="B69" s="26" t="s">
        <v>327</v>
      </c>
      <c r="C69" s="30">
        <v>431</v>
      </c>
      <c r="D69" s="30" t="str">
        <f t="shared" si="75"/>
        <v>3</v>
      </c>
      <c r="E69" s="30" t="str">
        <f t="shared" si="76"/>
        <v>32</v>
      </c>
      <c r="F69" s="26" t="str">
        <f t="shared" si="74"/>
        <v>322</v>
      </c>
      <c r="G69" s="86" t="s">
        <v>72</v>
      </c>
      <c r="H69" s="86" t="s">
        <v>74</v>
      </c>
      <c r="I69" s="87">
        <f>_xlfn.IFNA(VLOOKUP(G69,'Posebni dio-programska_2024'!A$71:D$95,4,FALSE),999999)</f>
        <v>64014.26</v>
      </c>
      <c r="J69" s="87">
        <v>73000</v>
      </c>
      <c r="K69" s="87">
        <f>62702.37-40.75</f>
        <v>62661.62</v>
      </c>
      <c r="L69" s="87">
        <f t="shared" si="5"/>
        <v>97.886970809316551</v>
      </c>
      <c r="M69" s="87">
        <f t="shared" si="6"/>
        <v>85.837835616438369</v>
      </c>
      <c r="N69" s="31"/>
      <c r="S69" s="87">
        <f>62702.37-40.75</f>
        <v>62661.62</v>
      </c>
      <c r="T69" s="87">
        <f>62702.37-40.75</f>
        <v>62661.62</v>
      </c>
      <c r="U69" s="87">
        <f t="shared" si="70"/>
        <v>0</v>
      </c>
      <c r="Y69" s="87">
        <f>_xlfn.IFNA(VLOOKUP(G69,[4]IspisZahtjevaRviRazdobljaSumira!$A$70:$G$95,6,FALSE),999999)</f>
        <v>62661.62</v>
      </c>
      <c r="Z69" s="87">
        <f t="shared" si="77"/>
        <v>0</v>
      </c>
      <c r="AA69" s="55" t="s">
        <v>134</v>
      </c>
      <c r="AB69" s="195">
        <f t="shared" si="72"/>
        <v>431</v>
      </c>
      <c r="AC69" s="195"/>
      <c r="AD69" s="193">
        <v>724.45000000001164</v>
      </c>
      <c r="AE69" s="87">
        <f>_xlfn.IFNA(VLOOKUP(G69,[5]Rashodi!$B$32:$F$57,5,FALSE), 0)</f>
        <v>63386.07</v>
      </c>
      <c r="AF69" s="194">
        <f t="shared" si="69"/>
        <v>-724.45</v>
      </c>
    </row>
    <row r="70" spans="1:33" ht="20.100000000000001" customHeight="1" outlineLevel="1" x14ac:dyDescent="0.2">
      <c r="A70" s="30" t="s">
        <v>472</v>
      </c>
      <c r="B70" s="26" t="s">
        <v>327</v>
      </c>
      <c r="C70" s="30">
        <v>431</v>
      </c>
      <c r="D70" s="30" t="str">
        <f t="shared" si="75"/>
        <v>3</v>
      </c>
      <c r="E70" s="30" t="str">
        <f t="shared" si="76"/>
        <v>32</v>
      </c>
      <c r="F70" s="26" t="str">
        <f t="shared" si="74"/>
        <v>322</v>
      </c>
      <c r="G70" s="86" t="s">
        <v>75</v>
      </c>
      <c r="H70" s="86" t="s">
        <v>77</v>
      </c>
      <c r="I70" s="87">
        <f>_xlfn.IFNA(VLOOKUP(G70,'Posebni dio-programska_2024'!A$71:D$95,4,FALSE),999999)</f>
        <v>49412.35</v>
      </c>
      <c r="J70" s="87">
        <v>64000</v>
      </c>
      <c r="K70" s="87">
        <f>45710.93-1090.32</f>
        <v>44620.61</v>
      </c>
      <c r="L70" s="87">
        <f t="shared" si="5"/>
        <v>90.302545821034613</v>
      </c>
      <c r="M70" s="87">
        <f t="shared" si="6"/>
        <v>69.719703124999995</v>
      </c>
      <c r="N70" s="31"/>
      <c r="S70" s="87">
        <f>45710.93-1090.32</f>
        <v>44620.61</v>
      </c>
      <c r="T70" s="87">
        <f>45710.93-1090.32</f>
        <v>44620.61</v>
      </c>
      <c r="U70" s="87">
        <f t="shared" si="70"/>
        <v>0</v>
      </c>
      <c r="Y70" s="87">
        <f>_xlfn.IFNA(VLOOKUP(G70,[4]IspisZahtjevaRviRazdobljaSumira!$A$70:$G$95,6,FALSE),999999)</f>
        <v>44620.61</v>
      </c>
      <c r="Z70" s="87">
        <f t="shared" si="77"/>
        <v>0</v>
      </c>
      <c r="AA70" s="55" t="s">
        <v>135</v>
      </c>
      <c r="AB70" s="195">
        <f t="shared" si="72"/>
        <v>431</v>
      </c>
      <c r="AC70" s="195"/>
      <c r="AD70" s="87">
        <f t="shared" si="78"/>
        <v>0</v>
      </c>
      <c r="AE70" s="87">
        <f>_xlfn.IFNA(VLOOKUP(G70,[5]Rashodi!$B$32:$F$57,5,FALSE), 0)</f>
        <v>44620.61</v>
      </c>
      <c r="AF70" s="194">
        <f t="shared" si="69"/>
        <v>0</v>
      </c>
    </row>
    <row r="71" spans="1:33" ht="20.100000000000001" customHeight="1" outlineLevel="1" x14ac:dyDescent="0.2">
      <c r="A71" s="30" t="s">
        <v>472</v>
      </c>
      <c r="B71" s="26" t="s">
        <v>327</v>
      </c>
      <c r="C71" s="30">
        <v>431</v>
      </c>
      <c r="D71" s="30" t="str">
        <f>LEFT(G71,1)</f>
        <v>3</v>
      </c>
      <c r="E71" s="30" t="str">
        <f>LEFT(G71,2)</f>
        <v>32</v>
      </c>
      <c r="F71" s="26" t="str">
        <f>LEFT(G71,3)</f>
        <v>322</v>
      </c>
      <c r="G71" s="95">
        <v>3223</v>
      </c>
      <c r="H71" s="86" t="s">
        <v>80</v>
      </c>
      <c r="I71" s="87">
        <v>0</v>
      </c>
      <c r="J71" s="87"/>
      <c r="K71" s="87">
        <v>4.59</v>
      </c>
      <c r="L71" s="87">
        <f t="shared" si="5"/>
        <v>0</v>
      </c>
      <c r="M71" s="87">
        <f t="shared" si="6"/>
        <v>0</v>
      </c>
      <c r="N71" s="31"/>
      <c r="S71" s="87">
        <f>4.59+15.26</f>
        <v>19.850000000000001</v>
      </c>
      <c r="T71" s="87">
        <v>4.59</v>
      </c>
      <c r="U71" s="87">
        <f t="shared" si="70"/>
        <v>0</v>
      </c>
      <c r="Y71" s="87">
        <f>_xlfn.IFNA(VLOOKUP(G71,[4]IspisZahtjevaRviRazdobljaSumira!$A$70:$G$95,6,FALSE),999999)</f>
        <v>4.59</v>
      </c>
      <c r="Z71" s="87">
        <f t="shared" si="77"/>
        <v>0</v>
      </c>
      <c r="AA71" s="55" t="s">
        <v>564</v>
      </c>
      <c r="AB71" s="195">
        <f t="shared" si="72"/>
        <v>431</v>
      </c>
      <c r="AC71" s="195"/>
      <c r="AD71" s="193">
        <v>4.59</v>
      </c>
      <c r="AE71" s="87">
        <f>_xlfn.IFNA(VLOOKUP(G71,[5]Rashodi!$B$32:$F$57,5,FALSE), 0)</f>
        <v>19.850000000000001</v>
      </c>
      <c r="AF71" s="194">
        <f t="shared" ref="AF71:AF102" si="79">ROUND(K71-T71-AD71,2)</f>
        <v>-4.59</v>
      </c>
    </row>
    <row r="72" spans="1:33" ht="20.100000000000001" customHeight="1" outlineLevel="1" x14ac:dyDescent="0.2">
      <c r="A72" s="30" t="s">
        <v>472</v>
      </c>
      <c r="B72" s="26" t="s">
        <v>327</v>
      </c>
      <c r="C72" s="30">
        <v>431</v>
      </c>
      <c r="D72" s="30" t="str">
        <f t="shared" si="75"/>
        <v>3</v>
      </c>
      <c r="E72" s="30" t="str">
        <f t="shared" si="76"/>
        <v>32</v>
      </c>
      <c r="F72" s="26" t="str">
        <f t="shared" si="74"/>
        <v>322</v>
      </c>
      <c r="G72" s="86" t="s">
        <v>81</v>
      </c>
      <c r="H72" s="86" t="s">
        <v>83</v>
      </c>
      <c r="I72" s="87">
        <f>_xlfn.IFNA(VLOOKUP(G72,'Posebni dio-programska_2024'!A$71:D$95,4,FALSE),999999)</f>
        <v>28010.28</v>
      </c>
      <c r="J72" s="87">
        <v>33000</v>
      </c>
      <c r="K72" s="87">
        <v>21583.88</v>
      </c>
      <c r="L72" s="87">
        <f t="shared" ref="L72:L135" si="80">IF(I72&lt;&gt;0,K72/I72*100,0)</f>
        <v>77.05699478905602</v>
      </c>
      <c r="M72" s="87">
        <f t="shared" ref="M72:M135" si="81">IF(J72&lt;&gt;0,K72/J72*100,0)</f>
        <v>65.405696969696976</v>
      </c>
      <c r="N72" s="31"/>
      <c r="S72" s="87">
        <f>21583.88+969.2</f>
        <v>22553.08</v>
      </c>
      <c r="T72" s="87">
        <v>21583.88</v>
      </c>
      <c r="U72" s="87">
        <f t="shared" si="70"/>
        <v>0</v>
      </c>
      <c r="Y72" s="87">
        <f>_xlfn.IFNA(VLOOKUP(G72,[4]IspisZahtjevaRviRazdobljaSumira!$A$70:$G$95,6,FALSE),999999)</f>
        <v>21583.88</v>
      </c>
      <c r="Z72" s="87">
        <f t="shared" si="77"/>
        <v>0</v>
      </c>
      <c r="AA72" s="55" t="s">
        <v>136</v>
      </c>
      <c r="AB72" s="195">
        <f t="shared" si="72"/>
        <v>431</v>
      </c>
      <c r="AC72" s="195"/>
      <c r="AD72" s="193">
        <v>969.19999999999709</v>
      </c>
      <c r="AE72" s="87">
        <f>_xlfn.IFNA(VLOOKUP(G72,[5]Rashodi!$B$32:$F$57,5,FALSE), 0)</f>
        <v>22553.08</v>
      </c>
      <c r="AF72" s="194">
        <f t="shared" si="79"/>
        <v>-969.2</v>
      </c>
    </row>
    <row r="73" spans="1:33" ht="20.100000000000001" customHeight="1" outlineLevel="1" x14ac:dyDescent="0.2">
      <c r="A73" s="30" t="s">
        <v>472</v>
      </c>
      <c r="B73" s="26" t="s">
        <v>327</v>
      </c>
      <c r="C73" s="30">
        <v>431</v>
      </c>
      <c r="D73" s="30" t="str">
        <f t="shared" si="75"/>
        <v>3</v>
      </c>
      <c r="E73" s="30" t="str">
        <f t="shared" si="76"/>
        <v>32</v>
      </c>
      <c r="F73" s="26" t="str">
        <f t="shared" si="74"/>
        <v>322</v>
      </c>
      <c r="G73" s="86" t="s">
        <v>84</v>
      </c>
      <c r="H73" s="86" t="s">
        <v>86</v>
      </c>
      <c r="I73" s="87">
        <f>_xlfn.IFNA(VLOOKUP(G73,'Posebni dio-programska_2024'!A$71:D$95,4,FALSE),999999)</f>
        <v>4606.88</v>
      </c>
      <c r="J73" s="87">
        <v>5000</v>
      </c>
      <c r="K73" s="87">
        <v>6176.81</v>
      </c>
      <c r="L73" s="87">
        <f t="shared" si="80"/>
        <v>134.07794429201542</v>
      </c>
      <c r="M73" s="87">
        <f t="shared" si="81"/>
        <v>123.53620000000001</v>
      </c>
      <c r="N73" s="31"/>
      <c r="S73" s="87">
        <v>6176.81</v>
      </c>
      <c r="T73" s="87">
        <v>6176.81</v>
      </c>
      <c r="U73" s="87">
        <f t="shared" si="70"/>
        <v>0</v>
      </c>
      <c r="Y73" s="87">
        <f>_xlfn.IFNA(VLOOKUP(G73,[4]IspisZahtjevaRviRazdobljaSumira!$A$70:$G$95,6,FALSE),999999)</f>
        <v>6176.81</v>
      </c>
      <c r="Z73" s="87">
        <f t="shared" si="77"/>
        <v>0</v>
      </c>
      <c r="AA73" s="55" t="s">
        <v>137</v>
      </c>
      <c r="AB73" s="195">
        <f t="shared" si="72"/>
        <v>431</v>
      </c>
      <c r="AC73" s="195"/>
      <c r="AD73" s="87">
        <f t="shared" si="78"/>
        <v>0</v>
      </c>
      <c r="AE73" s="87">
        <f>_xlfn.IFNA(VLOOKUP(G73,[5]Rashodi!$B$32:$F$57,5,FALSE), 0)</f>
        <v>6176.81</v>
      </c>
      <c r="AF73" s="194">
        <f t="shared" si="79"/>
        <v>0</v>
      </c>
    </row>
    <row r="74" spans="1:33" ht="20.100000000000001" customHeight="1" outlineLevel="1" x14ac:dyDescent="0.2">
      <c r="A74" s="30" t="s">
        <v>472</v>
      </c>
      <c r="B74" s="26" t="s">
        <v>327</v>
      </c>
      <c r="C74" s="30">
        <v>431</v>
      </c>
      <c r="D74" s="30" t="str">
        <f t="shared" si="75"/>
        <v>3</v>
      </c>
      <c r="E74" s="30" t="str">
        <f t="shared" si="76"/>
        <v>32</v>
      </c>
      <c r="F74" s="26" t="str">
        <f t="shared" si="74"/>
        <v>322</v>
      </c>
      <c r="G74" s="86" t="s">
        <v>138</v>
      </c>
      <c r="H74" s="86" t="s">
        <v>140</v>
      </c>
      <c r="I74" s="87">
        <f>_xlfn.IFNA(VLOOKUP(G74,'Posebni dio-programska_2024'!A$71:D$95,4,FALSE),999999)</f>
        <v>440.25</v>
      </c>
      <c r="J74" s="87">
        <v>4000</v>
      </c>
      <c r="K74" s="87">
        <v>2740.27</v>
      </c>
      <c r="L74" s="87">
        <f t="shared" si="80"/>
        <v>622.43498012492898</v>
      </c>
      <c r="M74" s="87">
        <f t="shared" si="81"/>
        <v>68.506749999999997</v>
      </c>
      <c r="N74" s="31"/>
      <c r="S74" s="87">
        <v>2740.27</v>
      </c>
      <c r="T74" s="87">
        <v>2740.27</v>
      </c>
      <c r="U74" s="87">
        <f t="shared" si="70"/>
        <v>0</v>
      </c>
      <c r="Y74" s="87">
        <f>_xlfn.IFNA(VLOOKUP(G74,[4]IspisZahtjevaRviRazdobljaSumira!$A$70:$G$95,6,FALSE),999999)</f>
        <v>2740.27</v>
      </c>
      <c r="Z74" s="87">
        <f t="shared" si="77"/>
        <v>0</v>
      </c>
      <c r="AA74" s="55" t="s">
        <v>139</v>
      </c>
      <c r="AB74" s="195">
        <f t="shared" si="72"/>
        <v>431</v>
      </c>
      <c r="AC74" s="195"/>
      <c r="AD74" s="87">
        <f t="shared" si="78"/>
        <v>0</v>
      </c>
      <c r="AE74" s="87">
        <f>_xlfn.IFNA(VLOOKUP(G74,[5]Rashodi!$B$32:$F$57,5,FALSE), 0)</f>
        <v>2740.27</v>
      </c>
      <c r="AF74" s="194">
        <f t="shared" si="79"/>
        <v>0</v>
      </c>
    </row>
    <row r="75" spans="1:33" ht="20.100000000000001" customHeight="1" outlineLevel="1" x14ac:dyDescent="0.2">
      <c r="A75" s="30" t="s">
        <v>472</v>
      </c>
      <c r="B75" s="26" t="s">
        <v>327</v>
      </c>
      <c r="C75" s="30">
        <v>431</v>
      </c>
      <c r="D75" s="30" t="str">
        <f t="shared" si="75"/>
        <v>3</v>
      </c>
      <c r="E75" s="30" t="str">
        <f t="shared" si="76"/>
        <v>32</v>
      </c>
      <c r="F75" s="26" t="str">
        <f t="shared" si="74"/>
        <v>323</v>
      </c>
      <c r="G75" s="86" t="s">
        <v>87</v>
      </c>
      <c r="H75" s="86" t="s">
        <v>89</v>
      </c>
      <c r="I75" s="87">
        <f>_xlfn.IFNA(VLOOKUP(G75,'Posebni dio-programska_2024'!A$71:D$95,4,FALSE),999999)</f>
        <v>63264.22</v>
      </c>
      <c r="J75" s="87">
        <v>86000</v>
      </c>
      <c r="K75" s="87">
        <v>63902.17</v>
      </c>
      <c r="L75" s="87">
        <f t="shared" si="80"/>
        <v>101.0083898924226</v>
      </c>
      <c r="M75" s="87">
        <f t="shared" si="81"/>
        <v>74.304848837209306</v>
      </c>
      <c r="N75" s="31"/>
      <c r="S75" s="87">
        <v>63902.17</v>
      </c>
      <c r="T75" s="87">
        <v>63902.17</v>
      </c>
      <c r="U75" s="87">
        <f t="shared" si="70"/>
        <v>0</v>
      </c>
      <c r="Y75" s="87">
        <f>_xlfn.IFNA(VLOOKUP(G75,[4]IspisZahtjevaRviRazdobljaSumira!$A$70:$G$95,6,FALSE),999999)</f>
        <v>63902.17</v>
      </c>
      <c r="Z75" s="87">
        <f t="shared" si="77"/>
        <v>0</v>
      </c>
      <c r="AA75" s="55" t="s">
        <v>141</v>
      </c>
      <c r="AB75" s="195">
        <f t="shared" si="72"/>
        <v>431</v>
      </c>
      <c r="AC75" s="195"/>
      <c r="AD75" s="87">
        <f t="shared" si="78"/>
        <v>0</v>
      </c>
      <c r="AE75" s="87">
        <f>_xlfn.IFNA(VLOOKUP(G75,[5]Rashodi!$B$32:$F$57,5,FALSE), 0)</f>
        <v>63902.17</v>
      </c>
      <c r="AF75" s="194">
        <f t="shared" si="79"/>
        <v>0</v>
      </c>
    </row>
    <row r="76" spans="1:33" ht="20.100000000000001" customHeight="1" outlineLevel="1" x14ac:dyDescent="0.2">
      <c r="A76" s="30" t="s">
        <v>472</v>
      </c>
      <c r="B76" s="26" t="s">
        <v>327</v>
      </c>
      <c r="C76" s="30">
        <v>431</v>
      </c>
      <c r="D76" s="30" t="str">
        <f t="shared" si="75"/>
        <v>3</v>
      </c>
      <c r="E76" s="30" t="str">
        <f t="shared" si="76"/>
        <v>32</v>
      </c>
      <c r="F76" s="26" t="str">
        <f t="shared" si="74"/>
        <v>323</v>
      </c>
      <c r="G76" s="86" t="s">
        <v>38</v>
      </c>
      <c r="H76" s="86" t="s">
        <v>40</v>
      </c>
      <c r="I76" s="87">
        <f>_xlfn.IFNA(VLOOKUP(G76,'Posebni dio-programska_2024'!A$71:D$95,4,FALSE),999999)</f>
        <v>118039</v>
      </c>
      <c r="J76" s="87">
        <v>167000</v>
      </c>
      <c r="K76" s="87">
        <v>113611.79</v>
      </c>
      <c r="L76" s="87">
        <f t="shared" si="80"/>
        <v>96.249366734723267</v>
      </c>
      <c r="M76" s="87">
        <f t="shared" si="81"/>
        <v>68.031011976047893</v>
      </c>
      <c r="N76" s="31"/>
      <c r="S76" s="87">
        <v>113611.79</v>
      </c>
      <c r="T76" s="87">
        <v>113611.79</v>
      </c>
      <c r="U76" s="87">
        <f t="shared" si="70"/>
        <v>0</v>
      </c>
      <c r="Y76" s="87">
        <f>_xlfn.IFNA(VLOOKUP(G76,[4]IspisZahtjevaRviRazdobljaSumira!$A$70:$G$95,6,FALSE),999999)</f>
        <v>113611.79</v>
      </c>
      <c r="Z76" s="87">
        <f t="shared" si="77"/>
        <v>0</v>
      </c>
      <c r="AA76" s="55" t="s">
        <v>142</v>
      </c>
      <c r="AB76" s="195">
        <f t="shared" si="72"/>
        <v>431</v>
      </c>
      <c r="AC76" s="195"/>
      <c r="AD76" s="87">
        <f t="shared" si="78"/>
        <v>0</v>
      </c>
      <c r="AE76" s="87">
        <f>_xlfn.IFNA(VLOOKUP(G76,[5]Rashodi!$B$32:$F$57,5,FALSE), 0)</f>
        <v>113611.79</v>
      </c>
      <c r="AF76" s="194">
        <f t="shared" si="79"/>
        <v>0</v>
      </c>
    </row>
    <row r="77" spans="1:33" ht="20.100000000000001" customHeight="1" outlineLevel="1" x14ac:dyDescent="0.2">
      <c r="A77" s="30" t="s">
        <v>472</v>
      </c>
      <c r="B77" s="26" t="s">
        <v>327</v>
      </c>
      <c r="C77" s="30">
        <v>431</v>
      </c>
      <c r="D77" s="30" t="str">
        <f t="shared" si="75"/>
        <v>3</v>
      </c>
      <c r="E77" s="30" t="str">
        <f t="shared" si="76"/>
        <v>32</v>
      </c>
      <c r="F77" s="26" t="str">
        <f t="shared" si="74"/>
        <v>323</v>
      </c>
      <c r="G77" s="86" t="s">
        <v>91</v>
      </c>
      <c r="H77" s="86" t="s">
        <v>93</v>
      </c>
      <c r="I77" s="87">
        <f>_xlfn.IFNA(VLOOKUP(G77,'Posebni dio-programska_2024'!A$71:D$95,4,FALSE),999999)</f>
        <v>2661.25</v>
      </c>
      <c r="J77" s="87">
        <v>10000</v>
      </c>
      <c r="K77" s="87">
        <v>778.41</v>
      </c>
      <c r="L77" s="87">
        <f t="shared" si="80"/>
        <v>29.249788633161106</v>
      </c>
      <c r="M77" s="87">
        <f t="shared" si="81"/>
        <v>7.7840999999999996</v>
      </c>
      <c r="N77" s="31"/>
      <c r="S77" s="87">
        <v>778.41</v>
      </c>
      <c r="T77" s="87">
        <v>778.41</v>
      </c>
      <c r="U77" s="87">
        <f t="shared" si="70"/>
        <v>0</v>
      </c>
      <c r="Y77" s="87">
        <f>_xlfn.IFNA(VLOOKUP(G77,[4]IspisZahtjevaRviRazdobljaSumira!$A$70:$G$95,6,FALSE),999999)</f>
        <v>778.41</v>
      </c>
      <c r="Z77" s="87">
        <f t="shared" si="77"/>
        <v>0</v>
      </c>
      <c r="AA77" s="55" t="s">
        <v>143</v>
      </c>
      <c r="AB77" s="195">
        <f t="shared" si="72"/>
        <v>431</v>
      </c>
      <c r="AC77" s="195"/>
      <c r="AD77" s="87">
        <f t="shared" si="78"/>
        <v>0</v>
      </c>
      <c r="AE77" s="87">
        <f>_xlfn.IFNA(VLOOKUP(G77,[5]Rashodi!$B$32:$F$57,5,FALSE), 0)</f>
        <v>778.41</v>
      </c>
      <c r="AF77" s="194">
        <f t="shared" si="79"/>
        <v>0</v>
      </c>
    </row>
    <row r="78" spans="1:33" ht="20.100000000000001" customHeight="1" outlineLevel="1" x14ac:dyDescent="0.2">
      <c r="A78" s="30" t="s">
        <v>472</v>
      </c>
      <c r="B78" s="26" t="s">
        <v>327</v>
      </c>
      <c r="C78" s="30">
        <v>431</v>
      </c>
      <c r="D78" s="30" t="str">
        <f t="shared" si="75"/>
        <v>3</v>
      </c>
      <c r="E78" s="30" t="str">
        <f t="shared" si="76"/>
        <v>32</v>
      </c>
      <c r="F78" s="26" t="str">
        <f t="shared" si="74"/>
        <v>323</v>
      </c>
      <c r="G78" s="86" t="s">
        <v>94</v>
      </c>
      <c r="H78" s="86" t="s">
        <v>96</v>
      </c>
      <c r="I78" s="87">
        <f>_xlfn.IFNA(VLOOKUP(G78,'Posebni dio-programska_2024'!A$71:D$95,4,FALSE),999999)</f>
        <v>2250</v>
      </c>
      <c r="J78" s="87">
        <v>20000</v>
      </c>
      <c r="K78" s="87">
        <v>21849.63</v>
      </c>
      <c r="L78" s="87">
        <f t="shared" si="80"/>
        <v>971.09466666666663</v>
      </c>
      <c r="M78" s="87">
        <f t="shared" si="81"/>
        <v>109.24815000000001</v>
      </c>
      <c r="N78" s="31"/>
      <c r="S78" s="87">
        <f>21849.63+9243.56</f>
        <v>31093.190000000002</v>
      </c>
      <c r="T78" s="87">
        <v>21849.63</v>
      </c>
      <c r="U78" s="87">
        <f t="shared" si="70"/>
        <v>0</v>
      </c>
      <c r="Y78" s="87">
        <f>_xlfn.IFNA(VLOOKUP(G78,[4]IspisZahtjevaRviRazdobljaSumira!$A$70:$G$95,6,FALSE),999999)</f>
        <v>21849.63</v>
      </c>
      <c r="Z78" s="87">
        <f t="shared" si="77"/>
        <v>0</v>
      </c>
      <c r="AA78" s="55" t="s">
        <v>144</v>
      </c>
      <c r="AB78" s="195">
        <f t="shared" si="72"/>
        <v>431</v>
      </c>
      <c r="AC78" s="195"/>
      <c r="AD78" s="193">
        <v>9243.5599999999977</v>
      </c>
      <c r="AE78" s="87">
        <f>_xlfn.IFNA(VLOOKUP(G78,[5]Rashodi!$B$32:$F$57,5,FALSE), 0)</f>
        <v>31093.19</v>
      </c>
      <c r="AF78" s="194">
        <f t="shared" si="79"/>
        <v>-9243.56</v>
      </c>
    </row>
    <row r="79" spans="1:33" ht="20.100000000000001" customHeight="1" outlineLevel="1" x14ac:dyDescent="0.2">
      <c r="A79" s="30" t="s">
        <v>472</v>
      </c>
      <c r="B79" s="26" t="s">
        <v>327</v>
      </c>
      <c r="C79" s="30">
        <v>431</v>
      </c>
      <c r="D79" s="30" t="str">
        <f t="shared" si="75"/>
        <v>3</v>
      </c>
      <c r="E79" s="30" t="str">
        <f t="shared" si="76"/>
        <v>32</v>
      </c>
      <c r="F79" s="26" t="str">
        <f t="shared" si="74"/>
        <v>323</v>
      </c>
      <c r="G79" s="86" t="s">
        <v>97</v>
      </c>
      <c r="H79" s="86" t="s">
        <v>99</v>
      </c>
      <c r="I79" s="87">
        <f>_xlfn.IFNA(VLOOKUP(G79,'Posebni dio-programska_2024'!A$71:D$95,4,FALSE),999999)</f>
        <v>56106.239999999998</v>
      </c>
      <c r="J79" s="87">
        <v>125000</v>
      </c>
      <c r="K79" s="87">
        <v>94981.1</v>
      </c>
      <c r="L79" s="87">
        <f t="shared" si="80"/>
        <v>169.28794372961013</v>
      </c>
      <c r="M79" s="87">
        <f t="shared" si="81"/>
        <v>75.984880000000004</v>
      </c>
      <c r="N79" s="31"/>
      <c r="S79" s="87">
        <v>94981.1</v>
      </c>
      <c r="T79" s="87">
        <v>94981.1</v>
      </c>
      <c r="U79" s="87">
        <f t="shared" si="70"/>
        <v>0</v>
      </c>
      <c r="Y79" s="87">
        <f>_xlfn.IFNA(VLOOKUP(G79,[4]IspisZahtjevaRviRazdobljaSumira!$A$70:$G$95,6,FALSE),999999)</f>
        <v>94981.1</v>
      </c>
      <c r="Z79" s="87">
        <f t="shared" si="77"/>
        <v>0</v>
      </c>
      <c r="AA79" s="55" t="s">
        <v>145</v>
      </c>
      <c r="AB79" s="195">
        <f t="shared" si="72"/>
        <v>431</v>
      </c>
      <c r="AC79" s="195"/>
      <c r="AD79" s="87">
        <f t="shared" si="78"/>
        <v>0</v>
      </c>
      <c r="AE79" s="87">
        <f>_xlfn.IFNA(VLOOKUP(G79,[5]Rashodi!$B$32:$F$57,5,FALSE), 0)</f>
        <v>94981.1</v>
      </c>
      <c r="AF79" s="194">
        <f t="shared" si="79"/>
        <v>0</v>
      </c>
    </row>
    <row r="80" spans="1:33" ht="20.100000000000001" customHeight="1" outlineLevel="1" x14ac:dyDescent="0.2">
      <c r="A80" s="30" t="s">
        <v>472</v>
      </c>
      <c r="B80" s="26" t="s">
        <v>327</v>
      </c>
      <c r="C80" s="30">
        <v>431</v>
      </c>
      <c r="D80" s="30" t="str">
        <f t="shared" si="75"/>
        <v>3</v>
      </c>
      <c r="E80" s="30" t="str">
        <f t="shared" si="76"/>
        <v>32</v>
      </c>
      <c r="F80" s="26" t="str">
        <f t="shared" si="74"/>
        <v>323</v>
      </c>
      <c r="G80" s="86" t="s">
        <v>100</v>
      </c>
      <c r="H80" s="86" t="s">
        <v>102</v>
      </c>
      <c r="I80" s="87">
        <f>_xlfn.IFNA(VLOOKUP(G80,'Posebni dio-programska_2024'!A$71:D$95,4,FALSE),999999)</f>
        <v>198.47</v>
      </c>
      <c r="J80" s="87">
        <v>2000</v>
      </c>
      <c r="K80" s="87">
        <v>468.52</v>
      </c>
      <c r="L80" s="87">
        <f t="shared" si="80"/>
        <v>236.06590416687658</v>
      </c>
      <c r="M80" s="87">
        <f t="shared" si="81"/>
        <v>23.425999999999998</v>
      </c>
      <c r="N80" s="31"/>
      <c r="S80" s="87">
        <v>468.52</v>
      </c>
      <c r="T80" s="87">
        <v>468.52</v>
      </c>
      <c r="U80" s="87">
        <f t="shared" si="70"/>
        <v>0</v>
      </c>
      <c r="Y80" s="87">
        <f>_xlfn.IFNA(VLOOKUP(G80,[4]IspisZahtjevaRviRazdobljaSumira!$A$70:$G$95,6,FALSE),999999)</f>
        <v>468.52</v>
      </c>
      <c r="Z80" s="87">
        <f t="shared" si="77"/>
        <v>0</v>
      </c>
      <c r="AA80" s="55" t="s">
        <v>146</v>
      </c>
      <c r="AB80" s="195">
        <f t="shared" si="72"/>
        <v>431</v>
      </c>
      <c r="AC80" s="195"/>
      <c r="AD80" s="87">
        <f t="shared" si="78"/>
        <v>0</v>
      </c>
      <c r="AE80" s="87">
        <f>_xlfn.IFNA(VLOOKUP(G80,[5]Rashodi!$B$32:$F$57,5,FALSE), 0)</f>
        <v>468.52</v>
      </c>
      <c r="AF80" s="194">
        <f t="shared" si="79"/>
        <v>0</v>
      </c>
    </row>
    <row r="81" spans="1:33" ht="20.100000000000001" customHeight="1" outlineLevel="1" x14ac:dyDescent="0.2">
      <c r="A81" s="30" t="s">
        <v>472</v>
      </c>
      <c r="B81" s="26" t="s">
        <v>327</v>
      </c>
      <c r="C81" s="30">
        <v>431</v>
      </c>
      <c r="D81" s="30" t="str">
        <f t="shared" si="75"/>
        <v>3</v>
      </c>
      <c r="E81" s="30" t="str">
        <f t="shared" si="76"/>
        <v>32</v>
      </c>
      <c r="F81" s="26" t="str">
        <f t="shared" si="74"/>
        <v>323</v>
      </c>
      <c r="G81" s="86" t="s">
        <v>41</v>
      </c>
      <c r="H81" s="86" t="s">
        <v>43</v>
      </c>
      <c r="I81" s="87">
        <f>_xlfn.IFNA(VLOOKUP(G81,'Posebni dio-programska_2024'!A$71:D$95,4,FALSE),999999)</f>
        <v>50028.29</v>
      </c>
      <c r="J81" s="87">
        <v>48600</v>
      </c>
      <c r="K81" s="87">
        <v>40277.14</v>
      </c>
      <c r="L81" s="87">
        <f t="shared" si="80"/>
        <v>80.508728161606157</v>
      </c>
      <c r="M81" s="87">
        <f t="shared" si="81"/>
        <v>82.874773662551434</v>
      </c>
      <c r="N81" s="31"/>
      <c r="S81" s="87">
        <f>40277.14+3934.4</f>
        <v>44211.54</v>
      </c>
      <c r="T81" s="87">
        <v>40277.14</v>
      </c>
      <c r="U81" s="87">
        <f t="shared" si="70"/>
        <v>0</v>
      </c>
      <c r="Y81" s="87">
        <f>_xlfn.IFNA(VLOOKUP(G81,[4]IspisZahtjevaRviRazdobljaSumira!$A$70:$G$95,6,FALSE),999999)</f>
        <v>40277.14</v>
      </c>
      <c r="Z81" s="87">
        <f t="shared" si="77"/>
        <v>0</v>
      </c>
      <c r="AA81" s="55" t="s">
        <v>147</v>
      </c>
      <c r="AB81" s="195">
        <f t="shared" si="72"/>
        <v>431</v>
      </c>
      <c r="AC81" s="195"/>
      <c r="AD81" s="193">
        <v>3934.4000000000233</v>
      </c>
      <c r="AE81" s="87">
        <f>_xlfn.IFNA(VLOOKUP(G81,[5]Rashodi!$B$32:$F$57,5,FALSE), 0)</f>
        <v>44211.54</v>
      </c>
      <c r="AF81" s="194">
        <f t="shared" si="79"/>
        <v>-3934.4</v>
      </c>
    </row>
    <row r="82" spans="1:33" ht="20.100000000000001" customHeight="1" outlineLevel="1" x14ac:dyDescent="0.2">
      <c r="A82" s="30" t="s">
        <v>472</v>
      </c>
      <c r="B82" s="26" t="s">
        <v>327</v>
      </c>
      <c r="C82" s="30">
        <v>431</v>
      </c>
      <c r="D82" s="30" t="str">
        <f t="shared" si="75"/>
        <v>3</v>
      </c>
      <c r="E82" s="30" t="str">
        <f t="shared" si="76"/>
        <v>32</v>
      </c>
      <c r="F82" s="26" t="str">
        <f t="shared" si="74"/>
        <v>323</v>
      </c>
      <c r="G82" s="86" t="s">
        <v>104</v>
      </c>
      <c r="H82" s="86" t="s">
        <v>106</v>
      </c>
      <c r="I82" s="87">
        <f>_xlfn.IFNA(VLOOKUP(G82,'Posebni dio-programska_2024'!A$71:D$95,4,FALSE),999999)</f>
        <v>115914.48</v>
      </c>
      <c r="J82" s="87">
        <v>125000</v>
      </c>
      <c r="K82" s="87">
        <v>117616.62</v>
      </c>
      <c r="L82" s="87">
        <f t="shared" si="80"/>
        <v>101.46844466713736</v>
      </c>
      <c r="M82" s="87">
        <f t="shared" si="81"/>
        <v>94.093295999999995</v>
      </c>
      <c r="N82" s="31"/>
      <c r="S82" s="87">
        <v>117616.62</v>
      </c>
      <c r="T82" s="87">
        <v>117616.62</v>
      </c>
      <c r="U82" s="87">
        <f t="shared" si="70"/>
        <v>0</v>
      </c>
      <c r="Y82" s="87">
        <f>_xlfn.IFNA(VLOOKUP(G82,[4]IspisZahtjevaRviRazdobljaSumira!$A$70:$G$95,6,FALSE),999999)</f>
        <v>117616.62</v>
      </c>
      <c r="Z82" s="87">
        <f t="shared" si="77"/>
        <v>0</v>
      </c>
      <c r="AA82" s="55" t="s">
        <v>148</v>
      </c>
      <c r="AB82" s="195">
        <f t="shared" si="72"/>
        <v>431</v>
      </c>
      <c r="AC82" s="195"/>
      <c r="AD82" s="87">
        <f t="shared" si="78"/>
        <v>0</v>
      </c>
      <c r="AE82" s="87">
        <f>_xlfn.IFNA(VLOOKUP(G82,[5]Rashodi!$B$32:$F$57,5,FALSE), 0)</f>
        <v>117616.62</v>
      </c>
      <c r="AF82" s="194">
        <f t="shared" si="79"/>
        <v>0</v>
      </c>
    </row>
    <row r="83" spans="1:33" ht="20.100000000000001" customHeight="1" outlineLevel="1" x14ac:dyDescent="0.2">
      <c r="A83" s="30" t="s">
        <v>472</v>
      </c>
      <c r="B83" s="26" t="s">
        <v>327</v>
      </c>
      <c r="C83" s="30">
        <v>431</v>
      </c>
      <c r="D83" s="30" t="str">
        <f t="shared" si="75"/>
        <v>3</v>
      </c>
      <c r="E83" s="30" t="str">
        <f t="shared" si="76"/>
        <v>32</v>
      </c>
      <c r="F83" s="26" t="str">
        <f t="shared" si="74"/>
        <v>323</v>
      </c>
      <c r="G83" s="86" t="s">
        <v>126</v>
      </c>
      <c r="H83" s="86" t="s">
        <v>128</v>
      </c>
      <c r="I83" s="87">
        <f>_xlfn.IFNA(VLOOKUP(G83,'Posebni dio-programska_2024'!A$71:D$95,4,FALSE),999999)</f>
        <v>137657.25</v>
      </c>
      <c r="J83" s="87">
        <v>126200</v>
      </c>
      <c r="K83" s="87">
        <v>152906.18</v>
      </c>
      <c r="L83" s="87">
        <f t="shared" si="80"/>
        <v>111.07746232036453</v>
      </c>
      <c r="M83" s="87">
        <f t="shared" si="81"/>
        <v>121.16179080824088</v>
      </c>
      <c r="N83" s="31"/>
      <c r="S83" s="87">
        <v>152906.18</v>
      </c>
      <c r="T83" s="87">
        <v>152906.18</v>
      </c>
      <c r="U83" s="87">
        <f t="shared" si="70"/>
        <v>0</v>
      </c>
      <c r="Y83" s="87">
        <f>_xlfn.IFNA(VLOOKUP(G83,[4]IspisZahtjevaRviRazdobljaSumira!$A$70:$G$95,6,FALSE),999999)</f>
        <v>152906.18</v>
      </c>
      <c r="Z83" s="87">
        <f t="shared" si="77"/>
        <v>0</v>
      </c>
      <c r="AA83" s="55" t="s">
        <v>149</v>
      </c>
      <c r="AB83" s="195">
        <f t="shared" si="72"/>
        <v>431</v>
      </c>
      <c r="AC83" s="195"/>
      <c r="AD83" s="87">
        <f t="shared" si="78"/>
        <v>0</v>
      </c>
      <c r="AE83" s="87">
        <f>_xlfn.IFNA(VLOOKUP(G83,[5]Rashodi!$B$32:$F$57,5,FALSE), 0)</f>
        <v>152906.18</v>
      </c>
      <c r="AF83" s="194">
        <f t="shared" si="79"/>
        <v>0</v>
      </c>
    </row>
    <row r="84" spans="1:33" ht="20.100000000000001" customHeight="1" outlineLevel="1" x14ac:dyDescent="0.2">
      <c r="A84" s="30" t="s">
        <v>472</v>
      </c>
      <c r="B84" s="26" t="s">
        <v>327</v>
      </c>
      <c r="C84" s="30">
        <v>431</v>
      </c>
      <c r="D84" s="30" t="str">
        <f t="shared" si="75"/>
        <v>3</v>
      </c>
      <c r="E84" s="30" t="str">
        <f t="shared" si="76"/>
        <v>32</v>
      </c>
      <c r="F84" s="26" t="str">
        <f t="shared" si="74"/>
        <v>324</v>
      </c>
      <c r="G84" s="86" t="s">
        <v>150</v>
      </c>
      <c r="H84" s="86" t="s">
        <v>152</v>
      </c>
      <c r="I84" s="87">
        <f>_xlfn.IFNA(VLOOKUP(G84,'Posebni dio-programska_2024'!A$71:D$95,4,FALSE),999999)</f>
        <v>221.18</v>
      </c>
      <c r="J84" s="87">
        <v>500</v>
      </c>
      <c r="K84" s="87"/>
      <c r="L84" s="87">
        <f t="shared" si="80"/>
        <v>0</v>
      </c>
      <c r="M84" s="87">
        <f t="shared" si="81"/>
        <v>0</v>
      </c>
      <c r="N84" s="31"/>
      <c r="S84" s="87"/>
      <c r="T84" s="87"/>
      <c r="U84" s="87">
        <f t="shared" si="70"/>
        <v>0</v>
      </c>
      <c r="Y84" s="87">
        <f>_xlfn.IFNA(VLOOKUP(G84,[4]IspisZahtjevaRviRazdobljaSumira!$A$70:$G$95,6,FALSE),999999)</f>
        <v>0</v>
      </c>
      <c r="Z84" s="87">
        <f t="shared" si="77"/>
        <v>0</v>
      </c>
      <c r="AA84" s="55" t="s">
        <v>151</v>
      </c>
      <c r="AB84" s="195">
        <f t="shared" si="72"/>
        <v>431</v>
      </c>
      <c r="AC84" s="195"/>
      <c r="AD84" s="87">
        <f t="shared" si="78"/>
        <v>0</v>
      </c>
      <c r="AE84" s="87">
        <f>_xlfn.IFNA(VLOOKUP(G84*1,[5]Rashodi!$B$32:$F$57,5,FALSE), 0)</f>
        <v>0</v>
      </c>
      <c r="AF84" s="194">
        <f t="shared" si="79"/>
        <v>0</v>
      </c>
    </row>
    <row r="85" spans="1:33" ht="20.100000000000001" customHeight="1" outlineLevel="1" x14ac:dyDescent="0.2">
      <c r="A85" s="30" t="s">
        <v>472</v>
      </c>
      <c r="B85" s="26" t="s">
        <v>327</v>
      </c>
      <c r="C85" s="30">
        <v>431</v>
      </c>
      <c r="D85" s="30" t="str">
        <f t="shared" si="75"/>
        <v>3</v>
      </c>
      <c r="E85" s="30" t="str">
        <f t="shared" si="76"/>
        <v>32</v>
      </c>
      <c r="F85" s="26" t="str">
        <f t="shared" si="74"/>
        <v>329</v>
      </c>
      <c r="G85" s="86" t="s">
        <v>110</v>
      </c>
      <c r="H85" s="86" t="s">
        <v>112</v>
      </c>
      <c r="I85" s="87">
        <f>_xlfn.IFNA(VLOOKUP(G85,'Posebni dio-programska_2024'!A$71:D$95,4,FALSE),999999)</f>
        <v>3648.84</v>
      </c>
      <c r="J85" s="87">
        <v>4000</v>
      </c>
      <c r="K85" s="87">
        <v>3858.64</v>
      </c>
      <c r="L85" s="87">
        <f t="shared" si="80"/>
        <v>105.74977253044801</v>
      </c>
      <c r="M85" s="87">
        <f t="shared" si="81"/>
        <v>96.465999999999994</v>
      </c>
      <c r="N85" s="31"/>
      <c r="S85" s="87">
        <v>3858.64</v>
      </c>
      <c r="T85" s="87">
        <v>3858.64</v>
      </c>
      <c r="U85" s="87">
        <f t="shared" si="70"/>
        <v>0</v>
      </c>
      <c r="Y85" s="87">
        <f>_xlfn.IFNA(VLOOKUP(G85,[4]IspisZahtjevaRviRazdobljaSumira!$A$70:$G$95,6,FALSE),999999)</f>
        <v>3858.64</v>
      </c>
      <c r="Z85" s="87">
        <f t="shared" si="77"/>
        <v>0</v>
      </c>
      <c r="AA85" s="55" t="s">
        <v>153</v>
      </c>
      <c r="AB85" s="195">
        <f t="shared" si="72"/>
        <v>431</v>
      </c>
      <c r="AC85" s="195"/>
      <c r="AD85" s="87">
        <f t="shared" si="78"/>
        <v>0</v>
      </c>
      <c r="AE85" s="87">
        <f>_xlfn.IFNA(VLOOKUP(G85,[5]Rashodi!$B$32:$F$57,5,FALSE), 0)</f>
        <v>3858.64</v>
      </c>
      <c r="AF85" s="194">
        <f t="shared" si="79"/>
        <v>0</v>
      </c>
    </row>
    <row r="86" spans="1:33" ht="20.100000000000001" customHeight="1" outlineLevel="1" x14ac:dyDescent="0.2">
      <c r="A86" s="30" t="s">
        <v>472</v>
      </c>
      <c r="B86" s="26" t="s">
        <v>327</v>
      </c>
      <c r="C86" s="30">
        <v>431</v>
      </c>
      <c r="D86" s="30" t="str">
        <f t="shared" si="75"/>
        <v>3</v>
      </c>
      <c r="E86" s="30" t="str">
        <f t="shared" si="76"/>
        <v>32</v>
      </c>
      <c r="F86" s="26" t="str">
        <f t="shared" si="74"/>
        <v>329</v>
      </c>
      <c r="G86" s="86" t="s">
        <v>154</v>
      </c>
      <c r="H86" s="86" t="s">
        <v>156</v>
      </c>
      <c r="I86" s="87">
        <f>_xlfn.IFNA(VLOOKUP(G86,'Posebni dio-programska_2024'!A$71:D$95,4,FALSE),999999)</f>
        <v>13879.05</v>
      </c>
      <c r="J86" s="87">
        <v>9000</v>
      </c>
      <c r="K86" s="87">
        <v>20831.82</v>
      </c>
      <c r="L86" s="87">
        <f t="shared" si="80"/>
        <v>150.0954316037481</v>
      </c>
      <c r="M86" s="87">
        <f t="shared" si="81"/>
        <v>231.46466666666666</v>
      </c>
      <c r="N86" s="31"/>
      <c r="S86" s="87">
        <v>20831.82</v>
      </c>
      <c r="T86" s="87">
        <v>20831.82</v>
      </c>
      <c r="U86" s="87">
        <f t="shared" si="70"/>
        <v>0</v>
      </c>
      <c r="Y86" s="87">
        <f>_xlfn.IFNA(VLOOKUP(G86,[4]IspisZahtjevaRviRazdobljaSumira!$A$70:$G$95,6,FALSE),999999)</f>
        <v>20831.82</v>
      </c>
      <c r="Z86" s="87">
        <f t="shared" si="77"/>
        <v>0</v>
      </c>
      <c r="AA86" s="55" t="s">
        <v>155</v>
      </c>
      <c r="AB86" s="195">
        <f t="shared" si="72"/>
        <v>431</v>
      </c>
      <c r="AC86" s="195"/>
      <c r="AD86" s="87">
        <f t="shared" si="78"/>
        <v>0</v>
      </c>
      <c r="AE86" s="87">
        <f>_xlfn.IFNA(VLOOKUP(G86,[5]Rashodi!$B$32:$F$57,5,FALSE), 0)</f>
        <v>20831.82</v>
      </c>
      <c r="AF86" s="194">
        <f t="shared" si="79"/>
        <v>0</v>
      </c>
    </row>
    <row r="87" spans="1:33" ht="20.100000000000001" customHeight="1" outlineLevel="1" x14ac:dyDescent="0.2">
      <c r="A87" s="30" t="s">
        <v>472</v>
      </c>
      <c r="B87" s="26" t="s">
        <v>327</v>
      </c>
      <c r="C87" s="30">
        <v>431</v>
      </c>
      <c r="D87" s="30" t="str">
        <f t="shared" si="75"/>
        <v>3</v>
      </c>
      <c r="E87" s="30" t="str">
        <f t="shared" si="76"/>
        <v>32</v>
      </c>
      <c r="F87" s="26" t="str">
        <f t="shared" si="74"/>
        <v>329</v>
      </c>
      <c r="G87" s="86" t="s">
        <v>113</v>
      </c>
      <c r="H87" s="86" t="s">
        <v>115</v>
      </c>
      <c r="I87" s="87">
        <f>_xlfn.IFNA(VLOOKUP(G87,'Posebni dio-programska_2024'!A$71:D$95,4,FALSE),999999)</f>
        <v>2502.1999999999998</v>
      </c>
      <c r="J87" s="87">
        <v>3300</v>
      </c>
      <c r="K87" s="87">
        <v>2984.94</v>
      </c>
      <c r="L87" s="87">
        <f t="shared" si="80"/>
        <v>119.29262249220687</v>
      </c>
      <c r="M87" s="87">
        <f t="shared" si="81"/>
        <v>90.452727272727273</v>
      </c>
      <c r="N87" s="31"/>
      <c r="S87" s="87">
        <v>2984.94</v>
      </c>
      <c r="T87" s="87">
        <v>2984.94</v>
      </c>
      <c r="U87" s="87">
        <f t="shared" si="70"/>
        <v>0</v>
      </c>
      <c r="Y87" s="87">
        <f>_xlfn.IFNA(VLOOKUP(G87,[4]IspisZahtjevaRviRazdobljaSumira!$A$70:$G$95,6,FALSE),999999)</f>
        <v>2984.94</v>
      </c>
      <c r="Z87" s="87">
        <f t="shared" si="77"/>
        <v>0</v>
      </c>
      <c r="AA87" s="55" t="s">
        <v>157</v>
      </c>
      <c r="AB87" s="195">
        <f t="shared" si="72"/>
        <v>431</v>
      </c>
      <c r="AC87" s="195"/>
      <c r="AD87" s="87">
        <f t="shared" si="78"/>
        <v>0</v>
      </c>
      <c r="AE87" s="87">
        <f>_xlfn.IFNA(VLOOKUP(G87,[5]Rashodi!$B$32:$F$57,5,FALSE), 0)</f>
        <v>2984.94</v>
      </c>
      <c r="AF87" s="194">
        <f t="shared" si="79"/>
        <v>0</v>
      </c>
    </row>
    <row r="88" spans="1:33" ht="20.100000000000001" customHeight="1" outlineLevel="1" x14ac:dyDescent="0.2">
      <c r="A88" s="30" t="s">
        <v>472</v>
      </c>
      <c r="B88" s="26" t="s">
        <v>327</v>
      </c>
      <c r="C88" s="30">
        <v>431</v>
      </c>
      <c r="D88" s="30" t="str">
        <f t="shared" si="75"/>
        <v>3</v>
      </c>
      <c r="E88" s="30" t="str">
        <f t="shared" si="76"/>
        <v>32</v>
      </c>
      <c r="F88" s="26" t="str">
        <f t="shared" si="74"/>
        <v>329</v>
      </c>
      <c r="G88" s="86" t="s">
        <v>116</v>
      </c>
      <c r="H88" s="86" t="s">
        <v>118</v>
      </c>
      <c r="I88" s="87">
        <f>_xlfn.IFNA(VLOOKUP(G88,'Posebni dio-programska_2024'!A$71:D$95,4,FALSE),999999)</f>
        <v>17376.939999999999</v>
      </c>
      <c r="J88" s="87">
        <v>22500</v>
      </c>
      <c r="K88" s="87">
        <v>5838.5</v>
      </c>
      <c r="L88" s="87">
        <f t="shared" si="80"/>
        <v>33.599126198283471</v>
      </c>
      <c r="M88" s="87">
        <f t="shared" si="81"/>
        <v>25.948888888888888</v>
      </c>
      <c r="N88" s="31"/>
      <c r="S88" s="87">
        <v>5838.5</v>
      </c>
      <c r="T88" s="87">
        <v>5838.5</v>
      </c>
      <c r="U88" s="87">
        <f t="shared" si="70"/>
        <v>0</v>
      </c>
      <c r="Y88" s="87">
        <f>_xlfn.IFNA(VLOOKUP(G88,[4]IspisZahtjevaRviRazdobljaSumira!$A$70:$G$95,6,FALSE),999999)</f>
        <v>5838.5</v>
      </c>
      <c r="Z88" s="87">
        <f t="shared" si="77"/>
        <v>0</v>
      </c>
      <c r="AA88" s="55" t="s">
        <v>158</v>
      </c>
      <c r="AB88" s="195">
        <f t="shared" si="72"/>
        <v>431</v>
      </c>
      <c r="AC88" s="195"/>
      <c r="AD88" s="87">
        <f t="shared" si="78"/>
        <v>0</v>
      </c>
      <c r="AE88" s="87">
        <f>_xlfn.IFNA(VLOOKUP(G88,[5]Rashodi!$B$32:$F$57,5,FALSE), 0)</f>
        <v>5838.5</v>
      </c>
      <c r="AF88" s="194">
        <f t="shared" si="79"/>
        <v>0</v>
      </c>
    </row>
    <row r="89" spans="1:33" ht="20.100000000000001" customHeight="1" outlineLevel="1" x14ac:dyDescent="0.2">
      <c r="A89" s="30" t="s">
        <v>472</v>
      </c>
      <c r="B89" s="26" t="s">
        <v>327</v>
      </c>
      <c r="C89" s="30">
        <v>431</v>
      </c>
      <c r="D89" s="30" t="str">
        <f t="shared" si="75"/>
        <v>3</v>
      </c>
      <c r="E89" s="30" t="str">
        <f t="shared" si="76"/>
        <v>32</v>
      </c>
      <c r="F89" s="26" t="str">
        <f t="shared" si="74"/>
        <v>329</v>
      </c>
      <c r="G89" s="86" t="s">
        <v>159</v>
      </c>
      <c r="H89" s="86" t="s">
        <v>161</v>
      </c>
      <c r="I89" s="87">
        <f>_xlfn.IFNA(VLOOKUP(G89,'Posebni dio-programska_2024'!A$71:D$95,4,FALSE),999999)</f>
        <v>6511.7</v>
      </c>
      <c r="J89" s="87">
        <v>4000</v>
      </c>
      <c r="K89" s="87">
        <v>4723.58</v>
      </c>
      <c r="L89" s="87">
        <f t="shared" si="80"/>
        <v>72.539889736935066</v>
      </c>
      <c r="M89" s="87">
        <f t="shared" si="81"/>
        <v>118.0895</v>
      </c>
      <c r="N89" s="31"/>
      <c r="S89" s="87">
        <v>4723.58</v>
      </c>
      <c r="T89" s="87">
        <v>4723.58</v>
      </c>
      <c r="U89" s="87">
        <f t="shared" si="70"/>
        <v>0</v>
      </c>
      <c r="Y89" s="87">
        <f>_xlfn.IFNA(VLOOKUP(G89,[4]IspisZahtjevaRviRazdobljaSumira!$A$70:$G$95,6,FALSE),999999)</f>
        <v>4723.58</v>
      </c>
      <c r="Z89" s="87">
        <f t="shared" si="77"/>
        <v>0</v>
      </c>
      <c r="AA89" s="55" t="s">
        <v>160</v>
      </c>
      <c r="AB89" s="195">
        <f t="shared" si="72"/>
        <v>431</v>
      </c>
      <c r="AC89" s="195"/>
      <c r="AD89" s="87">
        <f t="shared" si="78"/>
        <v>0</v>
      </c>
      <c r="AE89" s="87">
        <f>_xlfn.IFNA(VLOOKUP(G89,[5]Rashodi!$B$32:$F$57,5,FALSE), 0)</f>
        <v>4723.58</v>
      </c>
      <c r="AF89" s="194">
        <f t="shared" si="79"/>
        <v>0</v>
      </c>
    </row>
    <row r="90" spans="1:33" ht="20.100000000000001" customHeight="1" outlineLevel="1" x14ac:dyDescent="0.2">
      <c r="A90" s="30" t="s">
        <v>472</v>
      </c>
      <c r="B90" s="26" t="s">
        <v>327</v>
      </c>
      <c r="C90" s="30">
        <v>431</v>
      </c>
      <c r="D90" s="30" t="str">
        <f t="shared" si="75"/>
        <v>3</v>
      </c>
      <c r="E90" s="30" t="str">
        <f t="shared" si="76"/>
        <v>34</v>
      </c>
      <c r="F90" s="26" t="str">
        <f t="shared" si="74"/>
        <v>343</v>
      </c>
      <c r="G90" s="86" t="s">
        <v>119</v>
      </c>
      <c r="H90" s="86" t="s">
        <v>121</v>
      </c>
      <c r="I90" s="87">
        <f>_xlfn.IFNA(VLOOKUP(G90,'Posebni dio-programska_2024'!A$71:D$95,4,FALSE),999999)</f>
        <v>17133.240000000002</v>
      </c>
      <c r="J90" s="87">
        <v>13600</v>
      </c>
      <c r="K90" s="87">
        <v>19637.03</v>
      </c>
      <c r="L90" s="87">
        <f t="shared" si="80"/>
        <v>114.61363991866102</v>
      </c>
      <c r="M90" s="87">
        <f t="shared" si="81"/>
        <v>144.38992647058825</v>
      </c>
      <c r="N90" s="31"/>
      <c r="S90" s="87">
        <v>19637.03</v>
      </c>
      <c r="T90" s="87">
        <v>19637.03</v>
      </c>
      <c r="U90" s="87">
        <f t="shared" si="70"/>
        <v>0</v>
      </c>
      <c r="Y90" s="87">
        <f>_xlfn.IFNA(VLOOKUP(G90,[4]IspisZahtjevaRviRazdobljaSumira!$A$70:$G$95,6,FALSE),999999)</f>
        <v>19637.03</v>
      </c>
      <c r="Z90" s="87">
        <f t="shared" si="77"/>
        <v>0</v>
      </c>
      <c r="AA90" s="55" t="s">
        <v>162</v>
      </c>
      <c r="AB90" s="195">
        <f t="shared" si="72"/>
        <v>431</v>
      </c>
      <c r="AC90" s="195"/>
      <c r="AD90" s="87">
        <f t="shared" si="78"/>
        <v>0</v>
      </c>
      <c r="AE90" s="87">
        <f>_xlfn.IFNA(VLOOKUP(G90,[5]Rashodi!$B$32:$F$57,5,FALSE), 0)</f>
        <v>19637.03</v>
      </c>
      <c r="AF90" s="194">
        <f t="shared" si="79"/>
        <v>0</v>
      </c>
    </row>
    <row r="91" spans="1:33" ht="20.100000000000001" customHeight="1" outlineLevel="1" x14ac:dyDescent="0.2">
      <c r="A91" s="30" t="s">
        <v>472</v>
      </c>
      <c r="B91" s="26" t="s">
        <v>327</v>
      </c>
      <c r="C91" s="30">
        <v>431</v>
      </c>
      <c r="D91" s="30" t="str">
        <f t="shared" si="75"/>
        <v>3</v>
      </c>
      <c r="E91" s="30" t="str">
        <f t="shared" si="76"/>
        <v>34</v>
      </c>
      <c r="F91" s="26" t="str">
        <f t="shared" si="74"/>
        <v>343</v>
      </c>
      <c r="G91" s="86" t="s">
        <v>163</v>
      </c>
      <c r="H91" s="86" t="s">
        <v>165</v>
      </c>
      <c r="I91" s="87">
        <f>_xlfn.IFNA(VLOOKUP(G91,'Posebni dio-programska_2024'!A$71:D$95,4,FALSE),999999)</f>
        <v>123.49</v>
      </c>
      <c r="J91" s="87">
        <v>600</v>
      </c>
      <c r="K91" s="87">
        <v>637.32000000000005</v>
      </c>
      <c r="L91" s="87">
        <f t="shared" si="80"/>
        <v>516.09037169001544</v>
      </c>
      <c r="M91" s="87">
        <f t="shared" si="81"/>
        <v>106.22</v>
      </c>
      <c r="N91" s="93" t="s">
        <v>347</v>
      </c>
      <c r="O91" s="94" t="s">
        <v>350</v>
      </c>
      <c r="P91" s="94" t="s">
        <v>349</v>
      </c>
      <c r="S91" s="87">
        <v>637.32000000000005</v>
      </c>
      <c r="T91" s="87">
        <v>637.32000000000005</v>
      </c>
      <c r="U91" s="87">
        <f t="shared" si="70"/>
        <v>0</v>
      </c>
      <c r="Y91" s="87">
        <f>_xlfn.IFNA(VLOOKUP(G91,[4]IspisZahtjevaRviRazdobljaSumira!$A$70:$G$95,6,FALSE),999999)</f>
        <v>637.32000000000005</v>
      </c>
      <c r="Z91" s="87">
        <f t="shared" si="77"/>
        <v>0</v>
      </c>
      <c r="AA91" s="55" t="s">
        <v>164</v>
      </c>
      <c r="AB91" s="195">
        <f t="shared" si="72"/>
        <v>431</v>
      </c>
      <c r="AC91" s="195"/>
      <c r="AD91" s="87">
        <f t="shared" si="78"/>
        <v>0</v>
      </c>
      <c r="AE91" s="87">
        <f>_xlfn.IFNA(VLOOKUP(G91,[5]Rashodi!$B$32:$F$57,5,FALSE), 0)</f>
        <v>637.32000000000005</v>
      </c>
      <c r="AF91" s="194">
        <f t="shared" si="79"/>
        <v>0</v>
      </c>
    </row>
    <row r="92" spans="1:33" ht="24.95" customHeight="1" x14ac:dyDescent="0.2">
      <c r="A92" s="30"/>
      <c r="G92" s="230" t="s">
        <v>26</v>
      </c>
      <c r="H92" s="230"/>
      <c r="I92" s="79">
        <f t="shared" ref="I92:P92" si="82">SUMIFS(I93:I261,$B93:$B261,"A212401",$C93:$C261,"521")</f>
        <v>674791.1100000001</v>
      </c>
      <c r="J92" s="79">
        <f t="shared" si="82"/>
        <v>690000</v>
      </c>
      <c r="K92" s="79">
        <f t="shared" si="82"/>
        <v>835188.62000000011</v>
      </c>
      <c r="L92" s="79">
        <f t="shared" si="80"/>
        <v>123.76995008129256</v>
      </c>
      <c r="M92" s="79">
        <f t="shared" si="81"/>
        <v>121.04182898550727</v>
      </c>
      <c r="N92" s="25">
        <f t="shared" si="82"/>
        <v>178397.38999999998</v>
      </c>
      <c r="O92" s="25">
        <f t="shared" si="82"/>
        <v>643151.68000000005</v>
      </c>
      <c r="P92" s="25">
        <f t="shared" si="82"/>
        <v>13639.55</v>
      </c>
      <c r="S92" s="79">
        <f t="shared" ref="S92" si="83">SUMIFS(S93:S261,$B93:$B261,"A212401",$C93:$C261,"521")</f>
        <v>853513.98</v>
      </c>
      <c r="T92" s="79">
        <f t="shared" ref="T92:U92" si="84">SUMIFS(T93:T261,$B93:$B261,"A212401",$C93:$C261,"521")</f>
        <v>835188.62000000011</v>
      </c>
      <c r="U92" s="79">
        <f t="shared" si="84"/>
        <v>0</v>
      </c>
      <c r="Y92" s="79">
        <f t="shared" ref="Y92:Z92" si="85">SUMIFS(Y93:Y261,$B93:$B261,"A212401",$C93:$C261,"521")</f>
        <v>835188.62000000011</v>
      </c>
      <c r="Z92" s="79">
        <f t="shared" si="85"/>
        <v>0</v>
      </c>
      <c r="AA92" s="55"/>
      <c r="AB92" s="195">
        <f t="shared" si="72"/>
        <v>0</v>
      </c>
      <c r="AC92" s="195"/>
      <c r="AD92" s="79">
        <f t="shared" ref="AD92:AE92" si="86">SUMIFS(AD93:AD261,$B93:$B261,"A212401",$C93:$C261,"521")</f>
        <v>12093.85</v>
      </c>
      <c r="AE92" s="79">
        <f t="shared" si="86"/>
        <v>835188.62000000011</v>
      </c>
      <c r="AF92" s="194">
        <f t="shared" si="79"/>
        <v>-12093.85</v>
      </c>
      <c r="AG92" s="79">
        <f>SUBTOTAL(9,AD97:AD195)</f>
        <v>12093.849999999919</v>
      </c>
    </row>
    <row r="93" spans="1:33" ht="20.100000000000001" customHeight="1" outlineLevel="1" x14ac:dyDescent="0.2">
      <c r="A93" s="30" t="s">
        <v>472</v>
      </c>
      <c r="B93" s="26" t="s">
        <v>327</v>
      </c>
      <c r="C93" s="30">
        <v>521</v>
      </c>
      <c r="D93" s="30" t="str">
        <f t="shared" ref="D93:D120" si="87">LEFT(G93,1)</f>
        <v>3</v>
      </c>
      <c r="E93" s="30" t="str">
        <f t="shared" ref="E93:E120" si="88">LEFT(G93,2)</f>
        <v>31</v>
      </c>
      <c r="F93" s="26" t="str">
        <f t="shared" si="74"/>
        <v>311</v>
      </c>
      <c r="G93" s="86" t="s">
        <v>57</v>
      </c>
      <c r="H93" s="86" t="s">
        <v>59</v>
      </c>
      <c r="I93" s="87">
        <f>_xlfn.IFNA(VLOOKUP(G93,'Posebni dio-programska_2024'!A$97:D$124,4,FALSE),999999)</f>
        <v>491774.73</v>
      </c>
      <c r="J93" s="87">
        <v>504200</v>
      </c>
      <c r="K93" s="87">
        <f t="shared" ref="K93:K120" si="89">N93+O93+P93</f>
        <v>608866.72</v>
      </c>
      <c r="L93" s="87">
        <f t="shared" si="80"/>
        <v>123.81008678506112</v>
      </c>
      <c r="M93" s="87">
        <f t="shared" si="81"/>
        <v>120.75896866322888</v>
      </c>
      <c r="N93" s="31">
        <v>145951.35</v>
      </c>
      <c r="O93" s="25">
        <v>462915.37</v>
      </c>
      <c r="S93" s="87">
        <f>K93-8475.64</f>
        <v>600391.07999999996</v>
      </c>
      <c r="T93" s="87">
        <v>608866.72</v>
      </c>
      <c r="U93" s="87">
        <f t="shared" si="70"/>
        <v>0</v>
      </c>
      <c r="Y93" s="87">
        <f>_xlfn.IFNA(VLOOKUP(G93,[4]IspisZahtjevaRviRazdobljaSumira!$A$97:$G$124,6,FALSE),999999)</f>
        <v>608866.72</v>
      </c>
      <c r="Z93" s="87">
        <f t="shared" ref="Z93:Z120" si="90">Y93-K93</f>
        <v>0</v>
      </c>
      <c r="AA93" s="55" t="s">
        <v>166</v>
      </c>
      <c r="AB93" s="195">
        <f t="shared" si="72"/>
        <v>521</v>
      </c>
      <c r="AC93" s="195"/>
      <c r="AD93" s="87">
        <f t="shared" ref="AD93:AD120" si="91">U93</f>
        <v>0</v>
      </c>
      <c r="AE93" s="87">
        <f>_xlfn.IFNA(VLOOKUP(G93,[5]Rashodi!$B$59:$F$86,5,FALSE), 0)</f>
        <v>608866.72</v>
      </c>
      <c r="AF93" s="194">
        <f t="shared" si="79"/>
        <v>0</v>
      </c>
    </row>
    <row r="94" spans="1:33" ht="20.100000000000001" customHeight="1" outlineLevel="1" x14ac:dyDescent="0.2">
      <c r="A94" s="30" t="s">
        <v>472</v>
      </c>
      <c r="B94" s="26" t="s">
        <v>327</v>
      </c>
      <c r="C94" s="30">
        <v>521</v>
      </c>
      <c r="D94" s="30" t="str">
        <f t="shared" si="87"/>
        <v>3</v>
      </c>
      <c r="E94" s="30" t="str">
        <f t="shared" si="88"/>
        <v>31</v>
      </c>
      <c r="F94" s="26" t="str">
        <f t="shared" si="74"/>
        <v>312</v>
      </c>
      <c r="G94" s="86" t="s">
        <v>60</v>
      </c>
      <c r="H94" s="86" t="s">
        <v>62</v>
      </c>
      <c r="I94" s="87">
        <f>_xlfn.IFNA(VLOOKUP(G94,'Posebni dio-programska_2024'!A$97:D$124,4,FALSE),999999)</f>
        <v>32712.33</v>
      </c>
      <c r="J94" s="87">
        <v>20000</v>
      </c>
      <c r="K94" s="87">
        <f t="shared" si="89"/>
        <v>53176.68</v>
      </c>
      <c r="L94" s="87">
        <f t="shared" si="80"/>
        <v>162.55852151161349</v>
      </c>
      <c r="M94" s="87">
        <f t="shared" si="81"/>
        <v>265.88339999999999</v>
      </c>
      <c r="N94" s="31">
        <v>3529.36</v>
      </c>
      <c r="O94" s="25">
        <v>49647.32</v>
      </c>
      <c r="S94" s="87">
        <f>K94+23189.18</f>
        <v>76365.86</v>
      </c>
      <c r="T94" s="87">
        <v>53176.68</v>
      </c>
      <c r="U94" s="87">
        <f t="shared" si="70"/>
        <v>0</v>
      </c>
      <c r="Y94" s="87">
        <f>_xlfn.IFNA(VLOOKUP(G94,[4]IspisZahtjevaRviRazdobljaSumira!$A$97:$G$124,6,FALSE),999999)</f>
        <v>53176.68</v>
      </c>
      <c r="Z94" s="87">
        <f t="shared" si="90"/>
        <v>0</v>
      </c>
      <c r="AA94" s="55" t="s">
        <v>167</v>
      </c>
      <c r="AB94" s="195">
        <f t="shared" si="72"/>
        <v>521</v>
      </c>
      <c r="AC94" s="195"/>
      <c r="AD94" s="87">
        <f t="shared" si="91"/>
        <v>0</v>
      </c>
      <c r="AE94" s="87">
        <f>_xlfn.IFNA(VLOOKUP(G94,[5]Rashodi!$B$59:$F$86,5,FALSE), 0)</f>
        <v>53176.68</v>
      </c>
      <c r="AF94" s="194">
        <f t="shared" si="79"/>
        <v>0</v>
      </c>
    </row>
    <row r="95" spans="1:33" ht="20.100000000000001" customHeight="1" outlineLevel="1" x14ac:dyDescent="0.2">
      <c r="A95" s="30" t="s">
        <v>472</v>
      </c>
      <c r="B95" s="26" t="s">
        <v>327</v>
      </c>
      <c r="C95" s="30">
        <v>521</v>
      </c>
      <c r="D95" s="30" t="str">
        <f t="shared" si="87"/>
        <v>3</v>
      </c>
      <c r="E95" s="30" t="str">
        <f t="shared" si="88"/>
        <v>31</v>
      </c>
      <c r="F95" s="26" t="str">
        <f t="shared" si="74"/>
        <v>313</v>
      </c>
      <c r="G95" s="86" t="s">
        <v>63</v>
      </c>
      <c r="H95" s="86" t="s">
        <v>65</v>
      </c>
      <c r="I95" s="87">
        <f>_xlfn.IFNA(VLOOKUP(G95,'Posebni dio-programska_2024'!A$97:D$124,4,FALSE),999999)</f>
        <v>78996.78</v>
      </c>
      <c r="J95" s="87">
        <v>80300</v>
      </c>
      <c r="K95" s="87">
        <f t="shared" si="89"/>
        <v>99000.89</v>
      </c>
      <c r="L95" s="87">
        <f t="shared" si="80"/>
        <v>125.32269036788588</v>
      </c>
      <c r="M95" s="87">
        <f t="shared" si="81"/>
        <v>123.28877957658779</v>
      </c>
      <c r="N95" s="31">
        <v>19844.830000000002</v>
      </c>
      <c r="O95" s="25">
        <v>79156.06</v>
      </c>
      <c r="S95" s="87">
        <f>K95+3611.82</f>
        <v>102612.71</v>
      </c>
      <c r="T95" s="87">
        <v>99000.89</v>
      </c>
      <c r="U95" s="87">
        <f t="shared" si="70"/>
        <v>0</v>
      </c>
      <c r="Y95" s="87">
        <f>_xlfn.IFNA(VLOOKUP(G95,[4]IspisZahtjevaRviRazdobljaSumira!$A$97:$G$124,6,FALSE),999999)</f>
        <v>99000.89</v>
      </c>
      <c r="Z95" s="87">
        <f t="shared" si="90"/>
        <v>0</v>
      </c>
      <c r="AA95" s="55" t="s">
        <v>168</v>
      </c>
      <c r="AB95" s="195">
        <f t="shared" si="72"/>
        <v>521</v>
      </c>
      <c r="AC95" s="195"/>
      <c r="AD95" s="87">
        <f t="shared" si="91"/>
        <v>0</v>
      </c>
      <c r="AE95" s="87">
        <f>_xlfn.IFNA(VLOOKUP(G95,[5]Rashodi!$B$59:$F$86,5,FALSE), 0)</f>
        <v>99000.89</v>
      </c>
      <c r="AF95" s="194">
        <f t="shared" si="79"/>
        <v>0</v>
      </c>
    </row>
    <row r="96" spans="1:33" ht="20.100000000000001" customHeight="1" outlineLevel="1" x14ac:dyDescent="0.2">
      <c r="A96" s="30" t="s">
        <v>472</v>
      </c>
      <c r="B96" s="26" t="s">
        <v>327</v>
      </c>
      <c r="C96" s="30">
        <v>521</v>
      </c>
      <c r="D96" s="30" t="str">
        <f t="shared" si="87"/>
        <v>3</v>
      </c>
      <c r="E96" s="30" t="str">
        <f t="shared" si="88"/>
        <v>32</v>
      </c>
      <c r="F96" s="26" t="str">
        <f t="shared" si="74"/>
        <v>321</v>
      </c>
      <c r="G96" s="86" t="s">
        <v>130</v>
      </c>
      <c r="H96" s="86" t="s">
        <v>132</v>
      </c>
      <c r="I96" s="87">
        <f>_xlfn.IFNA(VLOOKUP(G96,'Posebni dio-programska_2024'!A$97:D$124,4,FALSE),999999)</f>
        <v>3462.28</v>
      </c>
      <c r="J96" s="87">
        <v>1600</v>
      </c>
      <c r="K96" s="87">
        <f t="shared" si="89"/>
        <v>2373.48</v>
      </c>
      <c r="L96" s="87">
        <f t="shared" si="80"/>
        <v>68.552514527998881</v>
      </c>
      <c r="M96" s="87">
        <f t="shared" si="81"/>
        <v>148.3425</v>
      </c>
      <c r="N96" s="31">
        <v>2373.48</v>
      </c>
      <c r="S96" s="87">
        <f t="shared" ref="S96:S120" si="92">K96</f>
        <v>2373.48</v>
      </c>
      <c r="T96" s="87">
        <v>2373.48</v>
      </c>
      <c r="U96" s="87">
        <f t="shared" si="70"/>
        <v>0</v>
      </c>
      <c r="Y96" s="87">
        <f>_xlfn.IFNA(VLOOKUP(G96,[4]IspisZahtjevaRviRazdobljaSumira!$A$97:$G$124,6,FALSE),999999)</f>
        <v>2373.48</v>
      </c>
      <c r="Z96" s="87">
        <f t="shared" si="90"/>
        <v>0</v>
      </c>
      <c r="AA96" s="55" t="s">
        <v>169</v>
      </c>
      <c r="AB96" s="195">
        <f t="shared" si="72"/>
        <v>521</v>
      </c>
      <c r="AC96" s="195"/>
      <c r="AD96" s="87">
        <f t="shared" si="91"/>
        <v>0</v>
      </c>
      <c r="AE96" s="87">
        <f>_xlfn.IFNA(VLOOKUP(G96,[5]Rashodi!$B$59:$F$86,5,FALSE), 0)</f>
        <v>2373.48</v>
      </c>
      <c r="AF96" s="194">
        <f t="shared" si="79"/>
        <v>0</v>
      </c>
    </row>
    <row r="97" spans="1:32" ht="20.100000000000001" customHeight="1" outlineLevel="1" x14ac:dyDescent="0.2">
      <c r="A97" s="30" t="s">
        <v>472</v>
      </c>
      <c r="B97" s="26" t="s">
        <v>327</v>
      </c>
      <c r="C97" s="30">
        <v>521</v>
      </c>
      <c r="D97" s="30" t="str">
        <f t="shared" si="87"/>
        <v>3</v>
      </c>
      <c r="E97" s="30" t="str">
        <f t="shared" si="88"/>
        <v>32</v>
      </c>
      <c r="F97" s="26" t="str">
        <f t="shared" si="74"/>
        <v>321</v>
      </c>
      <c r="G97" s="86" t="s">
        <v>66</v>
      </c>
      <c r="H97" s="86" t="s">
        <v>68</v>
      </c>
      <c r="I97" s="87">
        <f>_xlfn.IFNA(VLOOKUP(G97,'Posebni dio-programska_2024'!A$97:D$124,4,FALSE),999999)</f>
        <v>10474.31</v>
      </c>
      <c r="J97" s="87">
        <v>12600</v>
      </c>
      <c r="K97" s="87">
        <f t="shared" si="89"/>
        <v>12083.18</v>
      </c>
      <c r="L97" s="87">
        <f t="shared" si="80"/>
        <v>115.3601526019375</v>
      </c>
      <c r="M97" s="87">
        <f t="shared" si="81"/>
        <v>95.898253968253968</v>
      </c>
      <c r="N97" s="31">
        <v>2463.36</v>
      </c>
      <c r="O97" s="25">
        <v>9619.82</v>
      </c>
      <c r="S97" s="87">
        <f t="shared" si="92"/>
        <v>12083.18</v>
      </c>
      <c r="T97" s="87">
        <v>12083.18</v>
      </c>
      <c r="U97" s="87">
        <f t="shared" si="70"/>
        <v>0</v>
      </c>
      <c r="Y97" s="87">
        <f>_xlfn.IFNA(VLOOKUP(G97,[4]IspisZahtjevaRviRazdobljaSumira!$A$97:$G$124,6,FALSE),999999)</f>
        <v>12083.18</v>
      </c>
      <c r="Z97" s="87">
        <f t="shared" si="90"/>
        <v>0</v>
      </c>
      <c r="AA97" s="55" t="s">
        <v>170</v>
      </c>
      <c r="AB97" s="195">
        <f t="shared" si="72"/>
        <v>521</v>
      </c>
      <c r="AC97" s="195"/>
      <c r="AD97" s="193">
        <v>12083.18</v>
      </c>
      <c r="AE97" s="87">
        <f>_xlfn.IFNA(VLOOKUP(G97,[5]Rashodi!$B$59:$F$86,5,FALSE), 0)</f>
        <v>12083.18</v>
      </c>
      <c r="AF97" s="194">
        <f t="shared" si="79"/>
        <v>-12083.18</v>
      </c>
    </row>
    <row r="98" spans="1:32" ht="20.100000000000001" customHeight="1" outlineLevel="1" x14ac:dyDescent="0.2">
      <c r="A98" s="30" t="s">
        <v>472</v>
      </c>
      <c r="B98" s="26" t="s">
        <v>327</v>
      </c>
      <c r="C98" s="30">
        <v>521</v>
      </c>
      <c r="D98" s="30" t="str">
        <f t="shared" si="87"/>
        <v>3</v>
      </c>
      <c r="E98" s="30" t="str">
        <f t="shared" si="88"/>
        <v>32</v>
      </c>
      <c r="F98" s="26" t="str">
        <f t="shared" si="74"/>
        <v>321</v>
      </c>
      <c r="G98" s="86" t="s">
        <v>69</v>
      </c>
      <c r="H98" s="86" t="s">
        <v>71</v>
      </c>
      <c r="I98" s="87">
        <f>_xlfn.IFNA(VLOOKUP(G98,'Posebni dio-programska_2024'!A$97:D$124,4,FALSE),999999)</f>
        <v>645</v>
      </c>
      <c r="J98" s="87">
        <v>600</v>
      </c>
      <c r="K98" s="87">
        <f t="shared" si="89"/>
        <v>753.75</v>
      </c>
      <c r="L98" s="87">
        <f t="shared" si="80"/>
        <v>116.86046511627907</v>
      </c>
      <c r="M98" s="87">
        <f t="shared" si="81"/>
        <v>125.62500000000001</v>
      </c>
      <c r="N98" s="31">
        <v>753.75</v>
      </c>
      <c r="S98" s="87">
        <f t="shared" si="92"/>
        <v>753.75</v>
      </c>
      <c r="T98" s="87">
        <v>753.75</v>
      </c>
      <c r="U98" s="87">
        <f t="shared" si="70"/>
        <v>0</v>
      </c>
      <c r="Y98" s="87">
        <f>_xlfn.IFNA(VLOOKUP(G98,[4]IspisZahtjevaRviRazdobljaSumira!$A$97:$G$124,6,FALSE),999999)</f>
        <v>753.75</v>
      </c>
      <c r="Z98" s="87">
        <f t="shared" si="90"/>
        <v>0</v>
      </c>
      <c r="AA98" s="55" t="s">
        <v>171</v>
      </c>
      <c r="AB98" s="195">
        <f t="shared" si="72"/>
        <v>521</v>
      </c>
      <c r="AC98" s="195"/>
      <c r="AD98" s="87">
        <f t="shared" si="91"/>
        <v>0</v>
      </c>
      <c r="AE98" s="87">
        <f>_xlfn.IFNA(VLOOKUP(G98,[5]Rashodi!$B$59:$F$86,5,FALSE), 0)</f>
        <v>753.75</v>
      </c>
      <c r="AF98" s="194">
        <f t="shared" si="79"/>
        <v>0</v>
      </c>
    </row>
    <row r="99" spans="1:32" ht="20.100000000000001" customHeight="1" outlineLevel="1" x14ac:dyDescent="0.2">
      <c r="A99" s="30" t="s">
        <v>472</v>
      </c>
      <c r="B99" s="26" t="s">
        <v>327</v>
      </c>
      <c r="C99" s="30">
        <v>521</v>
      </c>
      <c r="D99" s="30" t="str">
        <f t="shared" si="87"/>
        <v>3</v>
      </c>
      <c r="E99" s="30" t="str">
        <f t="shared" si="88"/>
        <v>32</v>
      </c>
      <c r="F99" s="26" t="str">
        <f t="shared" si="74"/>
        <v>321</v>
      </c>
      <c r="G99" s="86" t="s">
        <v>172</v>
      </c>
      <c r="H99" s="86" t="s">
        <v>174</v>
      </c>
      <c r="I99" s="87">
        <f>_xlfn.IFNA(VLOOKUP(G99,'Posebni dio-programska_2024'!A$97:D$124,4,FALSE),999999)</f>
        <v>980.7</v>
      </c>
      <c r="J99" s="87">
        <v>1000</v>
      </c>
      <c r="K99" s="87">
        <f t="shared" si="89"/>
        <v>829.5</v>
      </c>
      <c r="L99" s="87">
        <f t="shared" si="80"/>
        <v>84.582441113490361</v>
      </c>
      <c r="M99" s="87">
        <f t="shared" si="81"/>
        <v>82.95</v>
      </c>
      <c r="N99" s="31">
        <v>829.5</v>
      </c>
      <c r="S99" s="87">
        <f t="shared" si="92"/>
        <v>829.5</v>
      </c>
      <c r="T99" s="87">
        <v>829.5</v>
      </c>
      <c r="U99" s="87">
        <f t="shared" si="70"/>
        <v>0</v>
      </c>
      <c r="Y99" s="87">
        <f>_xlfn.IFNA(VLOOKUP(G99,[4]IspisZahtjevaRviRazdobljaSumira!$A$97:$G$124,6,FALSE),999999)</f>
        <v>829.5</v>
      </c>
      <c r="Z99" s="87">
        <f t="shared" si="90"/>
        <v>0</v>
      </c>
      <c r="AA99" s="55" t="s">
        <v>173</v>
      </c>
      <c r="AB99" s="195">
        <f t="shared" si="72"/>
        <v>521</v>
      </c>
      <c r="AC99" s="195"/>
      <c r="AD99" s="87">
        <f t="shared" si="91"/>
        <v>0</v>
      </c>
      <c r="AE99" s="87">
        <f>_xlfn.IFNA(VLOOKUP(G99,[5]Rashodi!$B$59:$F$86,5,FALSE), 0)</f>
        <v>829.5</v>
      </c>
      <c r="AF99" s="194">
        <f t="shared" si="79"/>
        <v>0</v>
      </c>
    </row>
    <row r="100" spans="1:32" ht="20.100000000000001" customHeight="1" outlineLevel="1" x14ac:dyDescent="0.2">
      <c r="A100" s="30" t="s">
        <v>472</v>
      </c>
      <c r="B100" s="26" t="s">
        <v>327</v>
      </c>
      <c r="C100" s="30">
        <v>521</v>
      </c>
      <c r="D100" s="30" t="str">
        <f t="shared" si="87"/>
        <v>3</v>
      </c>
      <c r="E100" s="30" t="str">
        <f t="shared" si="88"/>
        <v>32</v>
      </c>
      <c r="F100" s="26" t="str">
        <f t="shared" si="74"/>
        <v>322</v>
      </c>
      <c r="G100" s="86" t="s">
        <v>72</v>
      </c>
      <c r="H100" s="86" t="s">
        <v>74</v>
      </c>
      <c r="I100" s="87">
        <f>_xlfn.IFNA(VLOOKUP(G100,'Posebni dio-programska_2024'!A$97:D$124,4,FALSE),999999)</f>
        <v>2240.19</v>
      </c>
      <c r="J100" s="87">
        <v>1900</v>
      </c>
      <c r="K100" s="87">
        <f t="shared" si="89"/>
        <v>2334.77</v>
      </c>
      <c r="L100" s="87">
        <f t="shared" si="80"/>
        <v>104.22196331561162</v>
      </c>
      <c r="M100" s="87">
        <f t="shared" si="81"/>
        <v>122.88263157894737</v>
      </c>
      <c r="N100" s="31">
        <v>578.17999999999995</v>
      </c>
      <c r="O100" s="25">
        <v>1756.59</v>
      </c>
      <c r="S100" s="87">
        <f t="shared" si="92"/>
        <v>2334.77</v>
      </c>
      <c r="T100" s="87">
        <v>2334.77</v>
      </c>
      <c r="U100" s="87">
        <f t="shared" si="70"/>
        <v>0</v>
      </c>
      <c r="Y100" s="87">
        <f>_xlfn.IFNA(VLOOKUP(G100,[4]IspisZahtjevaRviRazdobljaSumira!$A$97:$G$124,6,FALSE),999999)</f>
        <v>2334.77</v>
      </c>
      <c r="Z100" s="87">
        <f t="shared" si="90"/>
        <v>0</v>
      </c>
      <c r="AA100" s="55" t="s">
        <v>175</v>
      </c>
      <c r="AB100" s="195">
        <f t="shared" si="72"/>
        <v>521</v>
      </c>
      <c r="AC100" s="195"/>
      <c r="AD100" s="87">
        <f t="shared" si="91"/>
        <v>0</v>
      </c>
      <c r="AE100" s="87">
        <f>_xlfn.IFNA(VLOOKUP(G100,[5]Rashodi!$B$59:$F$86,5,FALSE), 0)</f>
        <v>2334.77</v>
      </c>
      <c r="AF100" s="194">
        <f t="shared" si="79"/>
        <v>0</v>
      </c>
    </row>
    <row r="101" spans="1:32" ht="20.100000000000001" customHeight="1" outlineLevel="1" x14ac:dyDescent="0.2">
      <c r="A101" s="30" t="s">
        <v>472</v>
      </c>
      <c r="B101" s="26" t="s">
        <v>327</v>
      </c>
      <c r="C101" s="30">
        <v>521</v>
      </c>
      <c r="D101" s="30" t="str">
        <f t="shared" si="87"/>
        <v>3</v>
      </c>
      <c r="E101" s="30" t="str">
        <f t="shared" si="88"/>
        <v>32</v>
      </c>
      <c r="F101" s="26" t="str">
        <f t="shared" si="74"/>
        <v>322</v>
      </c>
      <c r="G101" s="86" t="s">
        <v>75</v>
      </c>
      <c r="H101" s="86" t="s">
        <v>77</v>
      </c>
      <c r="I101" s="87">
        <f>_xlfn.IFNA(VLOOKUP(G101,'Posebni dio-programska_2024'!A$97:D$124,4,FALSE),999999)</f>
        <v>1244.25</v>
      </c>
      <c r="J101" s="87">
        <v>1300</v>
      </c>
      <c r="K101" s="87">
        <f t="shared" si="89"/>
        <v>1177.73</v>
      </c>
      <c r="L101" s="87">
        <f t="shared" si="80"/>
        <v>94.653807514567006</v>
      </c>
      <c r="M101" s="87">
        <f t="shared" si="81"/>
        <v>90.594615384615381</v>
      </c>
      <c r="N101" s="31">
        <v>11.93</v>
      </c>
      <c r="O101" s="25">
        <v>1165.8</v>
      </c>
      <c r="S101" s="87">
        <f t="shared" si="92"/>
        <v>1177.73</v>
      </c>
      <c r="T101" s="87">
        <v>1177.73</v>
      </c>
      <c r="U101" s="87">
        <f t="shared" si="70"/>
        <v>0</v>
      </c>
      <c r="Y101" s="87">
        <f>_xlfn.IFNA(VLOOKUP(G101,[4]IspisZahtjevaRviRazdobljaSumira!$A$97:$G$124,6,FALSE),999999)</f>
        <v>1177.73</v>
      </c>
      <c r="Z101" s="87">
        <f t="shared" si="90"/>
        <v>0</v>
      </c>
      <c r="AA101" s="55" t="s">
        <v>176</v>
      </c>
      <c r="AB101" s="195">
        <f t="shared" si="72"/>
        <v>521</v>
      </c>
      <c r="AC101" s="195"/>
      <c r="AD101" s="87">
        <f t="shared" si="91"/>
        <v>0</v>
      </c>
      <c r="AE101" s="87">
        <f>_xlfn.IFNA(VLOOKUP(G101,[5]Rashodi!$B$59:$F$86,5,FALSE), 0)</f>
        <v>1177.73</v>
      </c>
      <c r="AF101" s="194">
        <f t="shared" si="79"/>
        <v>0</v>
      </c>
    </row>
    <row r="102" spans="1:32" ht="20.100000000000001" customHeight="1" outlineLevel="1" x14ac:dyDescent="0.2">
      <c r="A102" s="30" t="s">
        <v>472</v>
      </c>
      <c r="B102" s="26" t="s">
        <v>327</v>
      </c>
      <c r="C102" s="30">
        <v>521</v>
      </c>
      <c r="D102" s="30" t="str">
        <f t="shared" si="87"/>
        <v>3</v>
      </c>
      <c r="E102" s="30" t="str">
        <f t="shared" si="88"/>
        <v>32</v>
      </c>
      <c r="F102" s="26" t="str">
        <f t="shared" si="74"/>
        <v>322</v>
      </c>
      <c r="G102" s="86" t="s">
        <v>78</v>
      </c>
      <c r="H102" s="86" t="s">
        <v>80</v>
      </c>
      <c r="I102" s="87">
        <f>_xlfn.IFNA(VLOOKUP(G102,'Posebni dio-programska_2024'!A$97:D$124,4,FALSE),999999)</f>
        <v>8613.94</v>
      </c>
      <c r="J102" s="87">
        <v>12000</v>
      </c>
      <c r="K102" s="87">
        <f t="shared" si="89"/>
        <v>11589.33</v>
      </c>
      <c r="L102" s="87">
        <f t="shared" si="80"/>
        <v>134.54156866660318</v>
      </c>
      <c r="M102" s="87">
        <f t="shared" si="81"/>
        <v>96.577749999999995</v>
      </c>
      <c r="N102" s="31"/>
      <c r="O102" s="25">
        <v>11589.33</v>
      </c>
      <c r="S102" s="87">
        <f t="shared" si="92"/>
        <v>11589.33</v>
      </c>
      <c r="T102" s="87">
        <v>11589.33</v>
      </c>
      <c r="U102" s="87">
        <f t="shared" si="70"/>
        <v>0</v>
      </c>
      <c r="Y102" s="87">
        <f>_xlfn.IFNA(VLOOKUP(G102,[4]IspisZahtjevaRviRazdobljaSumira!$A$97:$G$124,6,FALSE),999999)</f>
        <v>11589.33</v>
      </c>
      <c r="Z102" s="87">
        <f t="shared" si="90"/>
        <v>0</v>
      </c>
      <c r="AA102" s="55" t="s">
        <v>177</v>
      </c>
      <c r="AB102" s="195">
        <f t="shared" si="72"/>
        <v>521</v>
      </c>
      <c r="AC102" s="195"/>
      <c r="AD102" s="193">
        <v>10.67</v>
      </c>
      <c r="AE102" s="87">
        <f>_xlfn.IFNA(VLOOKUP(G102,[5]Rashodi!$B$59:$F$86,5,FALSE), 0)</f>
        <v>11589.33</v>
      </c>
      <c r="AF102" s="194">
        <f t="shared" si="79"/>
        <v>-10.67</v>
      </c>
    </row>
    <row r="103" spans="1:32" ht="20.100000000000001" customHeight="1" outlineLevel="1" x14ac:dyDescent="0.2">
      <c r="A103" s="30" t="s">
        <v>472</v>
      </c>
      <c r="B103" s="26" t="s">
        <v>327</v>
      </c>
      <c r="C103" s="30">
        <v>521</v>
      </c>
      <c r="D103" s="30" t="str">
        <f t="shared" si="87"/>
        <v>3</v>
      </c>
      <c r="E103" s="30" t="str">
        <f t="shared" si="88"/>
        <v>32</v>
      </c>
      <c r="F103" s="26" t="str">
        <f t="shared" si="74"/>
        <v>322</v>
      </c>
      <c r="G103" s="86" t="s">
        <v>81</v>
      </c>
      <c r="H103" s="86" t="s">
        <v>83</v>
      </c>
      <c r="I103" s="87">
        <f>_xlfn.IFNA(VLOOKUP(G103,'Posebni dio-programska_2024'!A$97:D$124,4,FALSE),999999)</f>
        <v>0</v>
      </c>
      <c r="J103" s="87">
        <v>100</v>
      </c>
      <c r="K103" s="87">
        <f t="shared" si="89"/>
        <v>1121.22</v>
      </c>
      <c r="L103" s="87">
        <f t="shared" si="80"/>
        <v>0</v>
      </c>
      <c r="M103" s="87">
        <f t="shared" si="81"/>
        <v>1121.22</v>
      </c>
      <c r="N103" s="31"/>
      <c r="O103" s="25">
        <v>1053.1400000000001</v>
      </c>
      <c r="P103" s="25">
        <v>68.08</v>
      </c>
      <c r="S103" s="87">
        <f t="shared" si="92"/>
        <v>1121.22</v>
      </c>
      <c r="T103" s="87">
        <v>1121.22</v>
      </c>
      <c r="U103" s="87">
        <f t="shared" si="70"/>
        <v>0</v>
      </c>
      <c r="Y103" s="87">
        <f>_xlfn.IFNA(VLOOKUP(G103,[4]IspisZahtjevaRviRazdobljaSumira!$A$97:$G$124,6,FALSE),999999)</f>
        <v>1121.22</v>
      </c>
      <c r="Z103" s="87">
        <f t="shared" si="90"/>
        <v>0</v>
      </c>
      <c r="AA103" s="55" t="s">
        <v>178</v>
      </c>
      <c r="AB103" s="195">
        <f t="shared" si="72"/>
        <v>521</v>
      </c>
      <c r="AC103" s="195"/>
      <c r="AD103" s="87">
        <f t="shared" si="91"/>
        <v>0</v>
      </c>
      <c r="AE103" s="87">
        <f>_xlfn.IFNA(VLOOKUP(G103,[5]Rashodi!$B$59:$F$86,5,FALSE), 0)</f>
        <v>1121.22</v>
      </c>
      <c r="AF103" s="194">
        <f t="shared" ref="AF103:AF134" si="93">ROUND(K103-T103-AD103,2)</f>
        <v>0</v>
      </c>
    </row>
    <row r="104" spans="1:32" ht="20.100000000000001" customHeight="1" outlineLevel="1" x14ac:dyDescent="0.2">
      <c r="A104" s="30" t="s">
        <v>472</v>
      </c>
      <c r="B104" s="26" t="s">
        <v>327</v>
      </c>
      <c r="C104" s="30">
        <v>521</v>
      </c>
      <c r="D104" s="30" t="str">
        <f t="shared" si="87"/>
        <v>3</v>
      </c>
      <c r="E104" s="30" t="str">
        <f t="shared" si="88"/>
        <v>32</v>
      </c>
      <c r="F104" s="26" t="str">
        <f t="shared" si="74"/>
        <v>322</v>
      </c>
      <c r="G104" s="86" t="s">
        <v>84</v>
      </c>
      <c r="H104" s="86" t="s">
        <v>86</v>
      </c>
      <c r="I104" s="87">
        <f>_xlfn.IFNA(VLOOKUP(G104,'Posebni dio-programska_2024'!A$97:D$124,4,FALSE),999999)</f>
        <v>158</v>
      </c>
      <c r="J104" s="87">
        <v>1300</v>
      </c>
      <c r="K104" s="87">
        <f t="shared" si="89"/>
        <v>697.75</v>
      </c>
      <c r="L104" s="87">
        <f t="shared" si="80"/>
        <v>441.61392405063287</v>
      </c>
      <c r="M104" s="87">
        <f t="shared" si="81"/>
        <v>53.67307692307692</v>
      </c>
      <c r="N104" s="31"/>
      <c r="O104" s="25">
        <v>697.75</v>
      </c>
      <c r="S104" s="87">
        <f t="shared" si="92"/>
        <v>697.75</v>
      </c>
      <c r="T104" s="87">
        <v>697.75</v>
      </c>
      <c r="U104" s="87">
        <f t="shared" ref="U104:U134" si="94">K104-T104</f>
        <v>0</v>
      </c>
      <c r="Y104" s="87">
        <f>_xlfn.IFNA(VLOOKUP(G104,[4]IspisZahtjevaRviRazdobljaSumira!$A$97:$G$124,6,FALSE),999999)</f>
        <v>697.75</v>
      </c>
      <c r="Z104" s="87">
        <f t="shared" si="90"/>
        <v>0</v>
      </c>
      <c r="AA104" s="55" t="s">
        <v>179</v>
      </c>
      <c r="AB104" s="195">
        <f t="shared" ref="AB104:AB167" si="95">C104</f>
        <v>521</v>
      </c>
      <c r="AC104" s="195"/>
      <c r="AD104" s="87">
        <f t="shared" si="91"/>
        <v>0</v>
      </c>
      <c r="AE104" s="87">
        <f>_xlfn.IFNA(VLOOKUP(G104,[5]Rashodi!$B$59:$F$86,5,FALSE), 0)</f>
        <v>697.75</v>
      </c>
      <c r="AF104" s="194">
        <f t="shared" si="93"/>
        <v>0</v>
      </c>
    </row>
    <row r="105" spans="1:32" ht="20.100000000000001" customHeight="1" outlineLevel="1" x14ac:dyDescent="0.2">
      <c r="A105" s="30" t="s">
        <v>472</v>
      </c>
      <c r="B105" s="26" t="s">
        <v>327</v>
      </c>
      <c r="C105" s="30">
        <v>521</v>
      </c>
      <c r="D105" s="30" t="str">
        <f t="shared" si="87"/>
        <v>3</v>
      </c>
      <c r="E105" s="30" t="str">
        <f t="shared" si="88"/>
        <v>32</v>
      </c>
      <c r="F105" s="26" t="str">
        <f t="shared" si="74"/>
        <v>322</v>
      </c>
      <c r="G105" s="86" t="s">
        <v>138</v>
      </c>
      <c r="H105" s="86" t="s">
        <v>140</v>
      </c>
      <c r="I105" s="87">
        <f>_xlfn.IFNA(VLOOKUP(G105,'Posebni dio-programska_2024'!A$97:D$124,4,FALSE),999999)</f>
        <v>0</v>
      </c>
      <c r="J105" s="87">
        <v>200</v>
      </c>
      <c r="K105" s="87">
        <f t="shared" si="89"/>
        <v>0</v>
      </c>
      <c r="L105" s="87">
        <f t="shared" si="80"/>
        <v>0</v>
      </c>
      <c r="M105" s="87">
        <f t="shared" si="81"/>
        <v>0</v>
      </c>
      <c r="N105" s="31"/>
      <c r="S105" s="87">
        <f t="shared" si="92"/>
        <v>0</v>
      </c>
      <c r="T105" s="87">
        <v>0</v>
      </c>
      <c r="U105" s="87">
        <f t="shared" si="94"/>
        <v>0</v>
      </c>
      <c r="Y105" s="87">
        <f>_xlfn.IFNA(VLOOKUP(G105,[4]IspisZahtjevaRviRazdobljaSumira!$A$97:$G$124,6,FALSE),999999)</f>
        <v>0</v>
      </c>
      <c r="Z105" s="87">
        <f t="shared" si="90"/>
        <v>0</v>
      </c>
      <c r="AA105" s="55" t="s">
        <v>180</v>
      </c>
      <c r="AB105" s="195">
        <f t="shared" si="95"/>
        <v>521</v>
      </c>
      <c r="AC105" s="195"/>
      <c r="AD105" s="87">
        <f t="shared" si="91"/>
        <v>0</v>
      </c>
      <c r="AE105" s="87">
        <f>_xlfn.IFNA(VLOOKUP(G105,[5]Rashodi!$B$59:$F$86,5,FALSE), 0)</f>
        <v>0</v>
      </c>
      <c r="AF105" s="194">
        <f t="shared" si="93"/>
        <v>0</v>
      </c>
    </row>
    <row r="106" spans="1:32" ht="20.100000000000001" customHeight="1" outlineLevel="1" x14ac:dyDescent="0.2">
      <c r="A106" s="30" t="s">
        <v>472</v>
      </c>
      <c r="B106" s="26" t="s">
        <v>327</v>
      </c>
      <c r="C106" s="30">
        <v>521</v>
      </c>
      <c r="D106" s="30" t="str">
        <f t="shared" si="87"/>
        <v>3</v>
      </c>
      <c r="E106" s="30" t="str">
        <f t="shared" si="88"/>
        <v>32</v>
      </c>
      <c r="F106" s="26" t="str">
        <f t="shared" si="74"/>
        <v>323</v>
      </c>
      <c r="G106" s="86" t="s">
        <v>87</v>
      </c>
      <c r="H106" s="86" t="s">
        <v>89</v>
      </c>
      <c r="I106" s="87">
        <f>_xlfn.IFNA(VLOOKUP(G106,'Posebni dio-programska_2024'!A$97:D$124,4,FALSE),999999)</f>
        <v>1933.68</v>
      </c>
      <c r="J106" s="87">
        <v>4000</v>
      </c>
      <c r="K106" s="87">
        <f t="shared" si="89"/>
        <v>2336.14</v>
      </c>
      <c r="L106" s="87">
        <f t="shared" si="80"/>
        <v>120.81316453601423</v>
      </c>
      <c r="M106" s="87">
        <f t="shared" si="81"/>
        <v>58.403499999999994</v>
      </c>
      <c r="N106" s="31">
        <v>61.67</v>
      </c>
      <c r="O106" s="25">
        <v>2274.4699999999998</v>
      </c>
      <c r="S106" s="87">
        <f t="shared" si="92"/>
        <v>2336.14</v>
      </c>
      <c r="T106" s="87">
        <v>2336.14</v>
      </c>
      <c r="U106" s="87">
        <f t="shared" si="94"/>
        <v>0</v>
      </c>
      <c r="Y106" s="87">
        <f>_xlfn.IFNA(VLOOKUP(G106,[4]IspisZahtjevaRviRazdobljaSumira!$A$97:$G$124,6,FALSE),999999)</f>
        <v>2336.14</v>
      </c>
      <c r="Z106" s="87">
        <f t="shared" si="90"/>
        <v>0</v>
      </c>
      <c r="AA106" s="55" t="s">
        <v>181</v>
      </c>
      <c r="AB106" s="195">
        <f t="shared" si="95"/>
        <v>521</v>
      </c>
      <c r="AC106" s="195"/>
      <c r="AD106" s="87">
        <f t="shared" si="91"/>
        <v>0</v>
      </c>
      <c r="AE106" s="87">
        <f>_xlfn.IFNA(VLOOKUP(G106,[5]Rashodi!$B$59:$F$86,5,FALSE), 0)</f>
        <v>2336.14</v>
      </c>
      <c r="AF106" s="194">
        <f t="shared" si="93"/>
        <v>0</v>
      </c>
    </row>
    <row r="107" spans="1:32" ht="20.100000000000001" customHeight="1" outlineLevel="1" x14ac:dyDescent="0.2">
      <c r="A107" s="30" t="s">
        <v>472</v>
      </c>
      <c r="B107" s="26" t="s">
        <v>327</v>
      </c>
      <c r="C107" s="30">
        <v>521</v>
      </c>
      <c r="D107" s="30" t="str">
        <f t="shared" si="87"/>
        <v>3</v>
      </c>
      <c r="E107" s="30" t="str">
        <f t="shared" si="88"/>
        <v>32</v>
      </c>
      <c r="F107" s="26" t="str">
        <f t="shared" si="74"/>
        <v>323</v>
      </c>
      <c r="G107" s="86" t="s">
        <v>38</v>
      </c>
      <c r="H107" s="86" t="s">
        <v>40</v>
      </c>
      <c r="I107" s="87">
        <f>_xlfn.IFNA(VLOOKUP(G107,'Posebni dio-programska_2024'!A$97:D$124,4,FALSE),999999)</f>
        <v>19777.099999999999</v>
      </c>
      <c r="J107" s="87">
        <v>22300</v>
      </c>
      <c r="K107" s="87">
        <f t="shared" si="89"/>
        <v>16693.419999999998</v>
      </c>
      <c r="L107" s="87">
        <f t="shared" si="80"/>
        <v>84.4078252119876</v>
      </c>
      <c r="M107" s="87">
        <f t="shared" si="81"/>
        <v>74.858385650224207</v>
      </c>
      <c r="N107" s="31"/>
      <c r="O107" s="25">
        <v>7921.78</v>
      </c>
      <c r="P107" s="25">
        <v>8771.64</v>
      </c>
      <c r="S107" s="87">
        <f t="shared" si="92"/>
        <v>16693.419999999998</v>
      </c>
      <c r="T107" s="87">
        <v>16693.419999999998</v>
      </c>
      <c r="U107" s="87">
        <f t="shared" si="94"/>
        <v>0</v>
      </c>
      <c r="Y107" s="87">
        <f>_xlfn.IFNA(VLOOKUP(G107,[4]IspisZahtjevaRviRazdobljaSumira!$A$97:$G$124,6,FALSE),999999)</f>
        <v>16693.419999999998</v>
      </c>
      <c r="Z107" s="87">
        <f t="shared" si="90"/>
        <v>0</v>
      </c>
      <c r="AA107" s="55" t="s">
        <v>182</v>
      </c>
      <c r="AB107" s="195">
        <f t="shared" si="95"/>
        <v>521</v>
      </c>
      <c r="AC107" s="195"/>
      <c r="AD107" s="87">
        <f t="shared" si="91"/>
        <v>0</v>
      </c>
      <c r="AE107" s="87">
        <f>_xlfn.IFNA(VLOOKUP(G107,[5]Rashodi!$B$59:$F$86,5,FALSE), 0)</f>
        <v>16693.419999999998</v>
      </c>
      <c r="AF107" s="194">
        <f t="shared" si="93"/>
        <v>0</v>
      </c>
    </row>
    <row r="108" spans="1:32" ht="20.100000000000001" customHeight="1" outlineLevel="1" x14ac:dyDescent="0.2">
      <c r="A108" s="30" t="s">
        <v>472</v>
      </c>
      <c r="B108" s="26" t="s">
        <v>327</v>
      </c>
      <c r="C108" s="30">
        <v>521</v>
      </c>
      <c r="D108" s="30" t="str">
        <f t="shared" si="87"/>
        <v>3</v>
      </c>
      <c r="E108" s="30" t="str">
        <f t="shared" si="88"/>
        <v>32</v>
      </c>
      <c r="F108" s="26" t="str">
        <f t="shared" si="74"/>
        <v>323</v>
      </c>
      <c r="G108" s="86" t="s">
        <v>94</v>
      </c>
      <c r="H108" s="86" t="s">
        <v>96</v>
      </c>
      <c r="I108" s="87">
        <f>_xlfn.IFNA(VLOOKUP(G108,'Posebni dio-programska_2024'!A$97:D$124,4,FALSE),999999)</f>
        <v>8549.93</v>
      </c>
      <c r="J108" s="87">
        <v>8700</v>
      </c>
      <c r="K108" s="87">
        <f t="shared" si="89"/>
        <v>9361.1200000000008</v>
      </c>
      <c r="L108" s="87">
        <f t="shared" si="80"/>
        <v>109.48768001609371</v>
      </c>
      <c r="M108" s="87">
        <f t="shared" si="81"/>
        <v>107.59908045977011</v>
      </c>
      <c r="N108" s="31"/>
      <c r="O108" s="25">
        <v>9361.1200000000008</v>
      </c>
      <c r="S108" s="87">
        <f t="shared" si="92"/>
        <v>9361.1200000000008</v>
      </c>
      <c r="T108" s="87">
        <v>9361.1200000000008</v>
      </c>
      <c r="U108" s="87">
        <f t="shared" si="94"/>
        <v>0</v>
      </c>
      <c r="Y108" s="87">
        <f>_xlfn.IFNA(VLOOKUP(G108,[4]IspisZahtjevaRviRazdobljaSumira!$A$97:$G$124,6,FALSE),999999)</f>
        <v>9361.1200000000008</v>
      </c>
      <c r="Z108" s="87">
        <f t="shared" si="90"/>
        <v>0</v>
      </c>
      <c r="AA108" s="55" t="s">
        <v>183</v>
      </c>
      <c r="AB108" s="195">
        <f t="shared" si="95"/>
        <v>521</v>
      </c>
      <c r="AC108" s="195"/>
      <c r="AD108" s="87">
        <f t="shared" si="91"/>
        <v>0</v>
      </c>
      <c r="AE108" s="87">
        <f>_xlfn.IFNA(VLOOKUP(G108,[5]Rashodi!$B$59:$F$86,5,FALSE), 0)</f>
        <v>9361.1200000000008</v>
      </c>
      <c r="AF108" s="194">
        <f t="shared" si="93"/>
        <v>0</v>
      </c>
    </row>
    <row r="109" spans="1:32" ht="20.100000000000001" customHeight="1" outlineLevel="1" x14ac:dyDescent="0.2">
      <c r="A109" s="30" t="s">
        <v>472</v>
      </c>
      <c r="B109" s="26" t="s">
        <v>327</v>
      </c>
      <c r="C109" s="30">
        <v>521</v>
      </c>
      <c r="D109" s="30" t="str">
        <f t="shared" si="87"/>
        <v>3</v>
      </c>
      <c r="E109" s="30" t="str">
        <f t="shared" si="88"/>
        <v>32</v>
      </c>
      <c r="F109" s="26" t="str">
        <f t="shared" si="74"/>
        <v>323</v>
      </c>
      <c r="G109" s="86" t="s">
        <v>97</v>
      </c>
      <c r="H109" s="86" t="s">
        <v>99</v>
      </c>
      <c r="I109" s="87">
        <f>_xlfn.IFNA(VLOOKUP(G109,'Posebni dio-programska_2024'!A$97:D$124,4,FALSE),999999)</f>
        <v>3177.52</v>
      </c>
      <c r="J109" s="87">
        <v>600</v>
      </c>
      <c r="K109" s="87">
        <f t="shared" si="89"/>
        <v>3651</v>
      </c>
      <c r="L109" s="87">
        <f t="shared" si="80"/>
        <v>114.90092902641054</v>
      </c>
      <c r="M109" s="87">
        <f t="shared" si="81"/>
        <v>608.5</v>
      </c>
      <c r="N109" s="31"/>
      <c r="P109" s="25">
        <v>3651</v>
      </c>
      <c r="S109" s="87">
        <f t="shared" si="92"/>
        <v>3651</v>
      </c>
      <c r="T109" s="87">
        <v>3651</v>
      </c>
      <c r="U109" s="87">
        <f t="shared" si="94"/>
        <v>0</v>
      </c>
      <c r="Y109" s="87">
        <f>_xlfn.IFNA(VLOOKUP(G109,[4]IspisZahtjevaRviRazdobljaSumira!$A$97:$G$124,6,FALSE),999999)</f>
        <v>3651</v>
      </c>
      <c r="Z109" s="87">
        <f t="shared" si="90"/>
        <v>0</v>
      </c>
      <c r="AA109" s="55" t="s">
        <v>184</v>
      </c>
      <c r="AB109" s="195">
        <f t="shared" si="95"/>
        <v>521</v>
      </c>
      <c r="AC109" s="195"/>
      <c r="AD109" s="87">
        <f t="shared" si="91"/>
        <v>0</v>
      </c>
      <c r="AE109" s="87">
        <f>_xlfn.IFNA(VLOOKUP(G109,[5]Rashodi!$B$59:$F$86,5,FALSE), 0)</f>
        <v>3651</v>
      </c>
      <c r="AF109" s="194">
        <f t="shared" si="93"/>
        <v>0</v>
      </c>
    </row>
    <row r="110" spans="1:32" ht="20.100000000000001" customHeight="1" outlineLevel="1" x14ac:dyDescent="0.2">
      <c r="A110" s="30" t="s">
        <v>472</v>
      </c>
      <c r="B110" s="26" t="s">
        <v>327</v>
      </c>
      <c r="C110" s="30">
        <v>521</v>
      </c>
      <c r="D110" s="30" t="str">
        <f t="shared" si="87"/>
        <v>3</v>
      </c>
      <c r="E110" s="30" t="str">
        <f t="shared" si="88"/>
        <v>32</v>
      </c>
      <c r="F110" s="26" t="str">
        <f t="shared" si="74"/>
        <v>323</v>
      </c>
      <c r="G110" s="86" t="s">
        <v>100</v>
      </c>
      <c r="H110" s="86" t="s">
        <v>102</v>
      </c>
      <c r="I110" s="87">
        <f>_xlfn.IFNA(VLOOKUP(G110,'Posebni dio-programska_2024'!A$97:D$124,4,FALSE),999999)</f>
        <v>0</v>
      </c>
      <c r="J110" s="87">
        <v>700</v>
      </c>
      <c r="K110" s="87">
        <f t="shared" si="89"/>
        <v>0</v>
      </c>
      <c r="L110" s="87">
        <f t="shared" si="80"/>
        <v>0</v>
      </c>
      <c r="M110" s="87">
        <f t="shared" si="81"/>
        <v>0</v>
      </c>
      <c r="N110" s="31"/>
      <c r="S110" s="87">
        <f t="shared" si="92"/>
        <v>0</v>
      </c>
      <c r="T110" s="87">
        <v>0</v>
      </c>
      <c r="U110" s="87">
        <f t="shared" si="94"/>
        <v>0</v>
      </c>
      <c r="Y110" s="87">
        <f>_xlfn.IFNA(VLOOKUP(G110,[4]IspisZahtjevaRviRazdobljaSumira!$A$97:$G$124,6,FALSE),999999)</f>
        <v>0</v>
      </c>
      <c r="Z110" s="87">
        <f t="shared" si="90"/>
        <v>0</v>
      </c>
      <c r="AA110" s="55" t="s">
        <v>185</v>
      </c>
      <c r="AB110" s="195">
        <f t="shared" si="95"/>
        <v>521</v>
      </c>
      <c r="AC110" s="195"/>
      <c r="AD110" s="87">
        <f t="shared" si="91"/>
        <v>0</v>
      </c>
      <c r="AE110" s="87">
        <f>_xlfn.IFNA(VLOOKUP(G110,[5]Rashodi!$B$59:$F$86,5,FALSE), 0)</f>
        <v>0</v>
      </c>
      <c r="AF110" s="194">
        <f t="shared" si="93"/>
        <v>0</v>
      </c>
    </row>
    <row r="111" spans="1:32" ht="20.100000000000001" customHeight="1" outlineLevel="1" x14ac:dyDescent="0.2">
      <c r="A111" s="30" t="s">
        <v>472</v>
      </c>
      <c r="B111" s="26" t="s">
        <v>327</v>
      </c>
      <c r="C111" s="30">
        <v>521</v>
      </c>
      <c r="D111" s="30" t="str">
        <f t="shared" si="87"/>
        <v>3</v>
      </c>
      <c r="E111" s="30" t="str">
        <f t="shared" si="88"/>
        <v>32</v>
      </c>
      <c r="F111" s="26" t="str">
        <f t="shared" si="74"/>
        <v>323</v>
      </c>
      <c r="G111" s="86" t="s">
        <v>41</v>
      </c>
      <c r="H111" s="86" t="s">
        <v>43</v>
      </c>
      <c r="I111" s="87">
        <f>_xlfn.IFNA(VLOOKUP(G111,'Posebni dio-programska_2024'!A$97:D$124,4,FALSE),999999)</f>
        <v>239.28</v>
      </c>
      <c r="J111" s="87">
        <v>600</v>
      </c>
      <c r="K111" s="87">
        <f t="shared" si="89"/>
        <v>740</v>
      </c>
      <c r="L111" s="87">
        <f t="shared" si="80"/>
        <v>309.26111668338348</v>
      </c>
      <c r="M111" s="87">
        <f t="shared" si="81"/>
        <v>123.33333333333334</v>
      </c>
      <c r="N111" s="31">
        <v>740</v>
      </c>
      <c r="S111" s="87">
        <f t="shared" si="92"/>
        <v>740</v>
      </c>
      <c r="T111" s="87">
        <v>740</v>
      </c>
      <c r="U111" s="87">
        <f t="shared" si="94"/>
        <v>0</v>
      </c>
      <c r="Y111" s="87">
        <f>_xlfn.IFNA(VLOOKUP(G111,[4]IspisZahtjevaRviRazdobljaSumira!$A$97:$G$124,6,FALSE),999999)</f>
        <v>740</v>
      </c>
      <c r="Z111" s="87">
        <f t="shared" si="90"/>
        <v>0</v>
      </c>
      <c r="AA111" s="55" t="s">
        <v>186</v>
      </c>
      <c r="AB111" s="195">
        <f t="shared" si="95"/>
        <v>521</v>
      </c>
      <c r="AC111" s="195"/>
      <c r="AD111" s="87">
        <f t="shared" si="91"/>
        <v>0</v>
      </c>
      <c r="AE111" s="87">
        <f>_xlfn.IFNA(VLOOKUP(G111,[5]Rashodi!$B$59:$F$86,5,FALSE), 0)</f>
        <v>740</v>
      </c>
      <c r="AF111" s="194">
        <f t="shared" si="93"/>
        <v>0</v>
      </c>
    </row>
    <row r="112" spans="1:32" ht="20.100000000000001" customHeight="1" outlineLevel="1" x14ac:dyDescent="0.2">
      <c r="A112" s="30" t="s">
        <v>472</v>
      </c>
      <c r="B112" s="26" t="s">
        <v>327</v>
      </c>
      <c r="C112" s="30">
        <v>521</v>
      </c>
      <c r="D112" s="30" t="str">
        <f t="shared" si="87"/>
        <v>3</v>
      </c>
      <c r="E112" s="30" t="str">
        <f t="shared" si="88"/>
        <v>32</v>
      </c>
      <c r="F112" s="26" t="str">
        <f t="shared" si="74"/>
        <v>323</v>
      </c>
      <c r="G112" s="86" t="s">
        <v>104</v>
      </c>
      <c r="H112" s="86" t="s">
        <v>106</v>
      </c>
      <c r="I112" s="87">
        <f>_xlfn.IFNA(VLOOKUP(G112,'Posebni dio-programska_2024'!A$97:D$124,4,FALSE),999999)</f>
        <v>4332.3100000000004</v>
      </c>
      <c r="J112" s="87">
        <v>5400</v>
      </c>
      <c r="K112" s="87">
        <f t="shared" si="89"/>
        <v>123.55</v>
      </c>
      <c r="L112" s="87">
        <f t="shared" si="80"/>
        <v>2.8518273161431194</v>
      </c>
      <c r="M112" s="87">
        <f t="shared" si="81"/>
        <v>2.287962962962963</v>
      </c>
      <c r="N112" s="31"/>
      <c r="O112" s="25">
        <v>123.55</v>
      </c>
      <c r="S112" s="87">
        <f t="shared" si="92"/>
        <v>123.55</v>
      </c>
      <c r="T112" s="87">
        <v>123.55</v>
      </c>
      <c r="U112" s="87">
        <f t="shared" si="94"/>
        <v>0</v>
      </c>
      <c r="Y112" s="87">
        <f>_xlfn.IFNA(VLOOKUP(G112,[4]IspisZahtjevaRviRazdobljaSumira!$A$97:$G$124,6,FALSE),999999)</f>
        <v>123.55</v>
      </c>
      <c r="Z112" s="87">
        <f t="shared" si="90"/>
        <v>0</v>
      </c>
      <c r="AA112" s="55" t="s">
        <v>187</v>
      </c>
      <c r="AB112" s="195">
        <f t="shared" si="95"/>
        <v>521</v>
      </c>
      <c r="AC112" s="195"/>
      <c r="AD112" s="87">
        <f t="shared" si="91"/>
        <v>0</v>
      </c>
      <c r="AE112" s="87">
        <f>_xlfn.IFNA(VLOOKUP(G112,[5]Rashodi!$B$59:$F$86,5,FALSE), 0)</f>
        <v>123.55</v>
      </c>
      <c r="AF112" s="194">
        <f t="shared" si="93"/>
        <v>0</v>
      </c>
    </row>
    <row r="113" spans="1:32" ht="20.100000000000001" customHeight="1" outlineLevel="1" x14ac:dyDescent="0.2">
      <c r="A113" s="30" t="s">
        <v>472</v>
      </c>
      <c r="B113" s="26" t="s">
        <v>327</v>
      </c>
      <c r="C113" s="30">
        <v>521</v>
      </c>
      <c r="D113" s="30" t="str">
        <f t="shared" si="87"/>
        <v>3</v>
      </c>
      <c r="E113" s="30" t="str">
        <f t="shared" si="88"/>
        <v>32</v>
      </c>
      <c r="F113" s="26" t="str">
        <f t="shared" si="74"/>
        <v>323</v>
      </c>
      <c r="G113" s="86" t="s">
        <v>126</v>
      </c>
      <c r="H113" s="86" t="s">
        <v>128</v>
      </c>
      <c r="I113" s="87">
        <f>_xlfn.IFNA(VLOOKUP(G113,'Posebni dio-programska_2024'!A$97:D$124,4,FALSE),999999)</f>
        <v>2585.9899999999998</v>
      </c>
      <c r="J113" s="87">
        <v>2700</v>
      </c>
      <c r="K113" s="87">
        <f t="shared" si="89"/>
        <v>4915.34</v>
      </c>
      <c r="L113" s="87">
        <f t="shared" si="80"/>
        <v>190.07575435326513</v>
      </c>
      <c r="M113" s="87">
        <f t="shared" si="81"/>
        <v>182.04962962962964</v>
      </c>
      <c r="N113" s="31">
        <v>97.5</v>
      </c>
      <c r="O113" s="25">
        <v>3669.01</v>
      </c>
      <c r="P113" s="25">
        <v>1148.83</v>
      </c>
      <c r="S113" s="87">
        <f t="shared" si="92"/>
        <v>4915.34</v>
      </c>
      <c r="T113" s="87">
        <v>4915.34</v>
      </c>
      <c r="U113" s="87">
        <f t="shared" si="94"/>
        <v>0</v>
      </c>
      <c r="Y113" s="87">
        <f>_xlfn.IFNA(VLOOKUP(G113,[4]IspisZahtjevaRviRazdobljaSumira!$A$97:$G$124,6,FALSE),999999)</f>
        <v>4915.34</v>
      </c>
      <c r="Z113" s="87">
        <f t="shared" si="90"/>
        <v>0</v>
      </c>
      <c r="AA113" s="55" t="s">
        <v>188</v>
      </c>
      <c r="AB113" s="195">
        <f t="shared" si="95"/>
        <v>521</v>
      </c>
      <c r="AC113" s="195"/>
      <c r="AD113" s="87">
        <f t="shared" si="91"/>
        <v>0</v>
      </c>
      <c r="AE113" s="87">
        <f>_xlfn.IFNA(VLOOKUP(G113,[5]Rashodi!$B$59:$F$86,5,FALSE), 0)</f>
        <v>4915.34</v>
      </c>
      <c r="AF113" s="194">
        <f t="shared" si="93"/>
        <v>0</v>
      </c>
    </row>
    <row r="114" spans="1:32" ht="20.100000000000001" customHeight="1" outlineLevel="1" x14ac:dyDescent="0.2">
      <c r="A114" s="30" t="s">
        <v>472</v>
      </c>
      <c r="B114" s="26" t="s">
        <v>327</v>
      </c>
      <c r="C114" s="30">
        <v>521</v>
      </c>
      <c r="D114" s="30" t="str">
        <f t="shared" si="87"/>
        <v>3</v>
      </c>
      <c r="E114" s="30" t="str">
        <f t="shared" si="88"/>
        <v>32</v>
      </c>
      <c r="F114" s="26" t="str">
        <f t="shared" si="74"/>
        <v>329</v>
      </c>
      <c r="G114" s="86" t="s">
        <v>110</v>
      </c>
      <c r="H114" s="86" t="s">
        <v>112</v>
      </c>
      <c r="I114" s="87">
        <f>_xlfn.IFNA(VLOOKUP(G114,'Posebni dio-programska_2024'!A$97:D$124,4,FALSE),999999)</f>
        <v>1550.46</v>
      </c>
      <c r="J114" s="87">
        <v>1600</v>
      </c>
      <c r="K114" s="87">
        <f t="shared" si="89"/>
        <v>1668.05</v>
      </c>
      <c r="L114" s="87">
        <f t="shared" si="80"/>
        <v>107.58420081782181</v>
      </c>
      <c r="M114" s="87">
        <f t="shared" si="81"/>
        <v>104.253125</v>
      </c>
      <c r="N114" s="31"/>
      <c r="O114" s="25">
        <v>1668.05</v>
      </c>
      <c r="S114" s="87">
        <f t="shared" si="92"/>
        <v>1668.05</v>
      </c>
      <c r="T114" s="87">
        <v>1668.05</v>
      </c>
      <c r="U114" s="87">
        <f t="shared" si="94"/>
        <v>0</v>
      </c>
      <c r="Y114" s="87">
        <f>_xlfn.IFNA(VLOOKUP(G114,[4]IspisZahtjevaRviRazdobljaSumira!$A$97:$G$124,6,FALSE),999999)</f>
        <v>1668.05</v>
      </c>
      <c r="Z114" s="87">
        <f t="shared" si="90"/>
        <v>0</v>
      </c>
      <c r="AA114" s="55" t="s">
        <v>189</v>
      </c>
      <c r="AB114" s="195">
        <f t="shared" si="95"/>
        <v>521</v>
      </c>
      <c r="AC114" s="195"/>
      <c r="AD114" s="87">
        <f t="shared" si="91"/>
        <v>0</v>
      </c>
      <c r="AE114" s="87">
        <f>_xlfn.IFNA(VLOOKUP(G114,[5]Rashodi!$B$59:$F$86,5,FALSE), 0)</f>
        <v>1668.05</v>
      </c>
      <c r="AF114" s="194">
        <f t="shared" si="93"/>
        <v>0</v>
      </c>
    </row>
    <row r="115" spans="1:32" ht="20.100000000000001" customHeight="1" outlineLevel="1" x14ac:dyDescent="0.2">
      <c r="A115" s="30" t="s">
        <v>472</v>
      </c>
      <c r="B115" s="26" t="s">
        <v>327</v>
      </c>
      <c r="C115" s="30">
        <v>521</v>
      </c>
      <c r="D115" s="30" t="str">
        <f t="shared" si="87"/>
        <v>3</v>
      </c>
      <c r="E115" s="30" t="str">
        <f t="shared" si="88"/>
        <v>32</v>
      </c>
      <c r="F115" s="26" t="str">
        <f t="shared" si="74"/>
        <v>329</v>
      </c>
      <c r="G115" s="86" t="s">
        <v>154</v>
      </c>
      <c r="H115" s="86" t="s">
        <v>156</v>
      </c>
      <c r="I115" s="87">
        <f>_xlfn.IFNA(VLOOKUP(G115,'Posebni dio-programska_2024'!A$97:D$124,4,FALSE),999999)</f>
        <v>1054.92</v>
      </c>
      <c r="J115" s="87">
        <v>800</v>
      </c>
      <c r="K115" s="87">
        <f t="shared" si="89"/>
        <v>1319.6100000000001</v>
      </c>
      <c r="L115" s="87">
        <f t="shared" si="80"/>
        <v>125.09100216130133</v>
      </c>
      <c r="M115" s="87">
        <f t="shared" si="81"/>
        <v>164.95125000000002</v>
      </c>
      <c r="N115" s="31">
        <v>1162.48</v>
      </c>
      <c r="O115" s="25">
        <v>157.13</v>
      </c>
      <c r="S115" s="87">
        <f t="shared" si="92"/>
        <v>1319.6100000000001</v>
      </c>
      <c r="T115" s="87">
        <v>1319.61</v>
      </c>
      <c r="U115" s="87">
        <f t="shared" si="94"/>
        <v>0</v>
      </c>
      <c r="Y115" s="87">
        <f>_xlfn.IFNA(VLOOKUP(G115,[4]IspisZahtjevaRviRazdobljaSumira!$A$97:$G$124,6,FALSE),999999)</f>
        <v>1319.61</v>
      </c>
      <c r="Z115" s="87">
        <f t="shared" si="90"/>
        <v>0</v>
      </c>
      <c r="AA115" s="55" t="s">
        <v>190</v>
      </c>
      <c r="AB115" s="195">
        <f t="shared" si="95"/>
        <v>521</v>
      </c>
      <c r="AC115" s="195"/>
      <c r="AD115" s="87">
        <f t="shared" si="91"/>
        <v>0</v>
      </c>
      <c r="AE115" s="87">
        <f>_xlfn.IFNA(VLOOKUP(G115,[5]Rashodi!$B$59:$F$86,5,FALSE), 0)</f>
        <v>1319.61</v>
      </c>
      <c r="AF115" s="194">
        <f t="shared" si="93"/>
        <v>0</v>
      </c>
    </row>
    <row r="116" spans="1:32" ht="20.100000000000001" customHeight="1" outlineLevel="1" x14ac:dyDescent="0.2">
      <c r="A116" s="30" t="s">
        <v>472</v>
      </c>
      <c r="B116" s="26" t="s">
        <v>327</v>
      </c>
      <c r="C116" s="30">
        <v>521</v>
      </c>
      <c r="D116" s="30" t="str">
        <f t="shared" si="87"/>
        <v>3</v>
      </c>
      <c r="E116" s="30" t="str">
        <f t="shared" si="88"/>
        <v>32</v>
      </c>
      <c r="F116" s="26" t="str">
        <f t="shared" si="74"/>
        <v>329</v>
      </c>
      <c r="G116" s="86" t="s">
        <v>113</v>
      </c>
      <c r="H116" s="86" t="s">
        <v>115</v>
      </c>
      <c r="I116" s="87">
        <f>_xlfn.IFNA(VLOOKUP(G116,'Posebni dio-programska_2024'!A$97:D$124,4,FALSE),999999)</f>
        <v>0</v>
      </c>
      <c r="J116" s="87">
        <v>0</v>
      </c>
      <c r="K116" s="87">
        <f t="shared" si="89"/>
        <v>0</v>
      </c>
      <c r="L116" s="87">
        <f t="shared" si="80"/>
        <v>0</v>
      </c>
      <c r="M116" s="87">
        <f t="shared" si="81"/>
        <v>0</v>
      </c>
      <c r="N116" s="31"/>
      <c r="S116" s="87">
        <f t="shared" si="92"/>
        <v>0</v>
      </c>
      <c r="T116" s="87">
        <v>0</v>
      </c>
      <c r="U116" s="87">
        <f t="shared" si="94"/>
        <v>0</v>
      </c>
      <c r="Y116" s="87">
        <f>_xlfn.IFNA(VLOOKUP(G116,[4]IspisZahtjevaRviRazdobljaSumira!$A$97:$G$124,6,FALSE),999999)</f>
        <v>0</v>
      </c>
      <c r="Z116" s="87">
        <f t="shared" si="90"/>
        <v>0</v>
      </c>
      <c r="AA116" s="55" t="s">
        <v>191</v>
      </c>
      <c r="AB116" s="195">
        <f t="shared" si="95"/>
        <v>521</v>
      </c>
      <c r="AC116" s="195"/>
      <c r="AD116" s="87">
        <f t="shared" si="91"/>
        <v>0</v>
      </c>
      <c r="AE116" s="87">
        <f>_xlfn.IFNA(VLOOKUP(G116,[5]Rashodi!$B$59:$F$86,5,FALSE), 0)</f>
        <v>0</v>
      </c>
      <c r="AF116" s="194">
        <f t="shared" si="93"/>
        <v>0</v>
      </c>
    </row>
    <row r="117" spans="1:32" ht="20.100000000000001" customHeight="1" outlineLevel="1" x14ac:dyDescent="0.2">
      <c r="A117" s="30" t="s">
        <v>472</v>
      </c>
      <c r="B117" s="26" t="s">
        <v>327</v>
      </c>
      <c r="C117" s="30">
        <v>521</v>
      </c>
      <c r="D117" s="30" t="str">
        <f t="shared" si="87"/>
        <v>3</v>
      </c>
      <c r="E117" s="30" t="str">
        <f t="shared" si="88"/>
        <v>32</v>
      </c>
      <c r="F117" s="26" t="str">
        <f t="shared" si="74"/>
        <v>329</v>
      </c>
      <c r="G117" s="86" t="s">
        <v>116</v>
      </c>
      <c r="H117" s="86" t="s">
        <v>118</v>
      </c>
      <c r="I117" s="87">
        <f>_xlfn.IFNA(VLOOKUP(G117,'Posebni dio-programska_2024'!A$97:D$124,4,FALSE),999999)</f>
        <v>254.76</v>
      </c>
      <c r="J117" s="87">
        <v>600</v>
      </c>
      <c r="K117" s="87">
        <f t="shared" si="89"/>
        <v>307.83999999999997</v>
      </c>
      <c r="L117" s="87">
        <f t="shared" si="80"/>
        <v>120.83529596482964</v>
      </c>
      <c r="M117" s="87">
        <f t="shared" si="81"/>
        <v>51.306666666666665</v>
      </c>
      <c r="N117" s="31"/>
      <c r="O117" s="25">
        <v>307.83999999999997</v>
      </c>
      <c r="S117" s="87">
        <f t="shared" si="92"/>
        <v>307.83999999999997</v>
      </c>
      <c r="T117" s="87">
        <v>307.83999999999997</v>
      </c>
      <c r="U117" s="87">
        <f t="shared" si="94"/>
        <v>0</v>
      </c>
      <c r="Y117" s="87">
        <f>_xlfn.IFNA(VLOOKUP(G117,[4]IspisZahtjevaRviRazdobljaSumira!$A$97:$G$124,6,FALSE),999999)</f>
        <v>307.83999999999997</v>
      </c>
      <c r="Z117" s="87">
        <f t="shared" si="90"/>
        <v>0</v>
      </c>
      <c r="AA117" s="55" t="s">
        <v>192</v>
      </c>
      <c r="AB117" s="195">
        <f t="shared" si="95"/>
        <v>521</v>
      </c>
      <c r="AC117" s="195"/>
      <c r="AD117" s="87">
        <f t="shared" si="91"/>
        <v>0</v>
      </c>
      <c r="AE117" s="87">
        <f>_xlfn.IFNA(VLOOKUP(G117,[5]Rashodi!$B$59:$F$86,5,FALSE), 0)</f>
        <v>307.83999999999997</v>
      </c>
      <c r="AF117" s="194">
        <f t="shared" si="93"/>
        <v>0</v>
      </c>
    </row>
    <row r="118" spans="1:32" ht="20.100000000000001" customHeight="1" outlineLevel="1" x14ac:dyDescent="0.2">
      <c r="A118" s="30" t="s">
        <v>472</v>
      </c>
      <c r="B118" s="26" t="s">
        <v>327</v>
      </c>
      <c r="C118" s="30">
        <v>521</v>
      </c>
      <c r="D118" s="30" t="str">
        <f t="shared" si="87"/>
        <v>3</v>
      </c>
      <c r="E118" s="30" t="str">
        <f t="shared" si="88"/>
        <v>32</v>
      </c>
      <c r="F118" s="26" t="str">
        <f t="shared" si="74"/>
        <v>329</v>
      </c>
      <c r="G118" s="86" t="s">
        <v>159</v>
      </c>
      <c r="H118" s="86" t="s">
        <v>161</v>
      </c>
      <c r="I118" s="87">
        <f>_xlfn.IFNA(VLOOKUP(G118,'Posebni dio-programska_2024'!A$97:D$124,4,FALSE),999999)</f>
        <v>32.65</v>
      </c>
      <c r="J118" s="87">
        <v>2000</v>
      </c>
      <c r="K118" s="87">
        <f t="shared" si="89"/>
        <v>45</v>
      </c>
      <c r="L118" s="87">
        <f t="shared" si="80"/>
        <v>137.82542113323123</v>
      </c>
      <c r="M118" s="87">
        <f t="shared" si="81"/>
        <v>2.25</v>
      </c>
      <c r="N118" s="31"/>
      <c r="O118" s="25">
        <v>45</v>
      </c>
      <c r="S118" s="87">
        <f t="shared" si="92"/>
        <v>45</v>
      </c>
      <c r="T118" s="87">
        <v>45</v>
      </c>
      <c r="U118" s="87">
        <f t="shared" si="94"/>
        <v>0</v>
      </c>
      <c r="Y118" s="87">
        <f>_xlfn.IFNA(VLOOKUP(G118,[4]IspisZahtjevaRviRazdobljaSumira!$A$97:$G$124,6,FALSE),999999)</f>
        <v>45</v>
      </c>
      <c r="Z118" s="87">
        <f t="shared" si="90"/>
        <v>0</v>
      </c>
      <c r="AA118" s="55" t="s">
        <v>193</v>
      </c>
      <c r="AB118" s="195">
        <f t="shared" si="95"/>
        <v>521</v>
      </c>
      <c r="AC118" s="195"/>
      <c r="AD118" s="87">
        <f t="shared" si="91"/>
        <v>0</v>
      </c>
      <c r="AE118" s="87">
        <f>_xlfn.IFNA(VLOOKUP(G118,[5]Rashodi!$B$59:$F$86,5,FALSE), 0)</f>
        <v>45</v>
      </c>
      <c r="AF118" s="194">
        <f t="shared" si="93"/>
        <v>0</v>
      </c>
    </row>
    <row r="119" spans="1:32" ht="20.100000000000001" customHeight="1" outlineLevel="1" x14ac:dyDescent="0.2">
      <c r="A119" s="30" t="s">
        <v>472</v>
      </c>
      <c r="B119" s="26" t="s">
        <v>327</v>
      </c>
      <c r="C119" s="30">
        <v>521</v>
      </c>
      <c r="D119" s="30" t="str">
        <f t="shared" si="87"/>
        <v>3</v>
      </c>
      <c r="E119" s="30" t="str">
        <f t="shared" si="88"/>
        <v>34</v>
      </c>
      <c r="F119" s="26" t="str">
        <f t="shared" si="74"/>
        <v>343</v>
      </c>
      <c r="G119" s="86" t="s">
        <v>119</v>
      </c>
      <c r="H119" s="86" t="s">
        <v>121</v>
      </c>
      <c r="I119" s="87">
        <f>_xlfn.IFNA(VLOOKUP(G119,'Posebni dio-programska_2024'!A$97:D$124,4,FALSE),999999)</f>
        <v>0</v>
      </c>
      <c r="J119" s="87">
        <v>2700</v>
      </c>
      <c r="K119" s="87">
        <f t="shared" si="89"/>
        <v>0</v>
      </c>
      <c r="L119" s="87">
        <f t="shared" si="80"/>
        <v>0</v>
      </c>
      <c r="M119" s="87">
        <f t="shared" si="81"/>
        <v>0</v>
      </c>
      <c r="N119" s="31"/>
      <c r="S119" s="87">
        <f t="shared" si="92"/>
        <v>0</v>
      </c>
      <c r="T119" s="87">
        <v>0</v>
      </c>
      <c r="U119" s="87">
        <f t="shared" si="94"/>
        <v>0</v>
      </c>
      <c r="Y119" s="87">
        <f>_xlfn.IFNA(VLOOKUP(G119,[4]IspisZahtjevaRviRazdobljaSumira!$A$97:$G$124,6,FALSE),999999)</f>
        <v>0</v>
      </c>
      <c r="Z119" s="87">
        <f t="shared" si="90"/>
        <v>0</v>
      </c>
      <c r="AA119" s="55" t="s">
        <v>194</v>
      </c>
      <c r="AB119" s="195">
        <f t="shared" si="95"/>
        <v>521</v>
      </c>
      <c r="AC119" s="195"/>
      <c r="AD119" s="87">
        <f t="shared" si="91"/>
        <v>0</v>
      </c>
      <c r="AE119" s="87">
        <f>_xlfn.IFNA(VLOOKUP(G119,[5]Rashodi!$B$59:$F$86,5,FALSE), 0)</f>
        <v>0</v>
      </c>
      <c r="AF119" s="194">
        <f t="shared" si="93"/>
        <v>0</v>
      </c>
    </row>
    <row r="120" spans="1:32" ht="20.100000000000001" customHeight="1" outlineLevel="1" x14ac:dyDescent="0.2">
      <c r="A120" s="30" t="s">
        <v>472</v>
      </c>
      <c r="B120" s="26" t="s">
        <v>327</v>
      </c>
      <c r="C120" s="30">
        <v>521</v>
      </c>
      <c r="D120" s="30" t="str">
        <f t="shared" si="87"/>
        <v>3</v>
      </c>
      <c r="E120" s="30" t="str">
        <f t="shared" si="88"/>
        <v>34</v>
      </c>
      <c r="F120" s="26" t="str">
        <f t="shared" si="74"/>
        <v>343</v>
      </c>
      <c r="G120" s="86" t="s">
        <v>163</v>
      </c>
      <c r="H120" s="86" t="s">
        <v>165</v>
      </c>
      <c r="I120" s="87">
        <f>_xlfn.IFNA(VLOOKUP(G120,'Posebni dio-programska_2024'!A$97:D$124,4,FALSE),999999)</f>
        <v>0</v>
      </c>
      <c r="J120" s="87">
        <v>200</v>
      </c>
      <c r="K120" s="87">
        <f t="shared" si="89"/>
        <v>22.55</v>
      </c>
      <c r="L120" s="87">
        <f t="shared" si="80"/>
        <v>0</v>
      </c>
      <c r="M120" s="87">
        <f t="shared" si="81"/>
        <v>11.275</v>
      </c>
      <c r="N120" s="31"/>
      <c r="O120" s="25">
        <v>22.55</v>
      </c>
      <c r="S120" s="87">
        <f t="shared" si="92"/>
        <v>22.55</v>
      </c>
      <c r="T120" s="87">
        <v>22.55</v>
      </c>
      <c r="U120" s="87">
        <f t="shared" si="94"/>
        <v>0</v>
      </c>
      <c r="Y120" s="87">
        <f>_xlfn.IFNA(VLOOKUP(G120,[4]IspisZahtjevaRviRazdobljaSumira!$A$97:$G$124,6,FALSE),999999)</f>
        <v>22.55</v>
      </c>
      <c r="Z120" s="87">
        <f t="shared" si="90"/>
        <v>0</v>
      </c>
      <c r="AA120" s="55" t="s">
        <v>195</v>
      </c>
      <c r="AB120" s="195">
        <f t="shared" si="95"/>
        <v>521</v>
      </c>
      <c r="AC120" s="195"/>
      <c r="AD120" s="87">
        <f t="shared" si="91"/>
        <v>0</v>
      </c>
      <c r="AE120" s="87">
        <f>_xlfn.IFNA(VLOOKUP(G120,[5]Rashodi!$B$59:$F$86,5,FALSE), 0)</f>
        <v>22.55</v>
      </c>
      <c r="AF120" s="194">
        <f t="shared" si="93"/>
        <v>0</v>
      </c>
    </row>
    <row r="121" spans="1:32" ht="24.95" customHeight="1" x14ac:dyDescent="0.2">
      <c r="A121" s="30"/>
      <c r="G121" s="230" t="s">
        <v>34</v>
      </c>
      <c r="H121" s="230"/>
      <c r="I121" s="79">
        <f>SUMIFS(I122:I290,$B122:$B290,"A212401",$C122:$C290,"541")</f>
        <v>570.71</v>
      </c>
      <c r="J121" s="79">
        <f>SUMIFS(J122:J290,$B122:$B290,"A212401",$C122:$C290,"541")</f>
        <v>1000</v>
      </c>
      <c r="K121" s="79">
        <f>SUMIFS(K122:K290,$B122:$B290,"A212401",$C122:$C290,"541")</f>
        <v>308.09000000000003</v>
      </c>
      <c r="L121" s="79">
        <f t="shared" si="80"/>
        <v>53.983634420283508</v>
      </c>
      <c r="M121" s="79">
        <f t="shared" si="81"/>
        <v>30.809000000000005</v>
      </c>
      <c r="S121" s="79">
        <f>SUMIFS(S122:S290,$B122:$B290,"A212401",$C122:$C290,"541")</f>
        <v>308.09000000000003</v>
      </c>
      <c r="T121" s="79">
        <f>SUMIFS(T122:T290,$B122:$B290,"A212401",$C122:$C290,"541")</f>
        <v>308.09000000000003</v>
      </c>
      <c r="U121" s="79">
        <f>SUMIFS(U122:U290,$B122:$B290,"A212401",$C122:$C290,"541")</f>
        <v>0</v>
      </c>
      <c r="Y121" s="79">
        <f>SUMIFS(Y122:Y290,$B122:$B290,"A212401",$C122:$C290,"541")</f>
        <v>308.09000000000003</v>
      </c>
      <c r="Z121" s="79">
        <f>SUMIFS(Z122:Z290,$B122:$B290,"A212401",$C122:$C290,"541")</f>
        <v>0</v>
      </c>
      <c r="AA121" s="55"/>
      <c r="AB121" s="195">
        <f t="shared" si="95"/>
        <v>0</v>
      </c>
      <c r="AC121" s="195"/>
      <c r="AD121" s="79">
        <f>SUMIFS(AD122:AD290,$B122:$B290,"A212401",$C122:$C290,"541")</f>
        <v>0</v>
      </c>
      <c r="AE121" s="79">
        <f>SUMIFS(AE122:AE290,$B122:$B290,"A212401",$C122:$C290,"541")</f>
        <v>308.09000000000003</v>
      </c>
      <c r="AF121" s="194">
        <f t="shared" si="93"/>
        <v>0</v>
      </c>
    </row>
    <row r="122" spans="1:32" ht="20.100000000000001" customHeight="1" outlineLevel="1" x14ac:dyDescent="0.2">
      <c r="A122" s="30" t="s">
        <v>472</v>
      </c>
      <c r="B122" s="26" t="s">
        <v>327</v>
      </c>
      <c r="C122" s="30">
        <v>541</v>
      </c>
      <c r="D122" s="30" t="str">
        <f>LEFT(G122,1)</f>
        <v>3</v>
      </c>
      <c r="E122" s="30" t="str">
        <f>LEFT(G122,2)</f>
        <v>32</v>
      </c>
      <c r="F122" s="26" t="str">
        <f t="shared" si="74"/>
        <v>322</v>
      </c>
      <c r="G122" s="86" t="s">
        <v>72</v>
      </c>
      <c r="H122" s="86" t="s">
        <v>74</v>
      </c>
      <c r="I122" s="87">
        <f>_xlfn.IFNA(VLOOKUP(G122,'Posebni dio-programska_2024'!A$126:D$130,4,FALSE),999999)</f>
        <v>17.25</v>
      </c>
      <c r="J122" s="87">
        <v>0</v>
      </c>
      <c r="K122" s="87"/>
      <c r="L122" s="87">
        <f t="shared" si="80"/>
        <v>0</v>
      </c>
      <c r="M122" s="87">
        <f t="shared" si="81"/>
        <v>0</v>
      </c>
      <c r="N122" s="31"/>
      <c r="S122" s="87"/>
      <c r="T122" s="87"/>
      <c r="U122" s="87">
        <f t="shared" si="94"/>
        <v>0</v>
      </c>
      <c r="Y122" s="87">
        <f>_xlfn.IFNA(VLOOKUP(G122,[4]IspisZahtjevaRviRazdobljaSumira!$A$126:$G$130,6,FALSE),999999)</f>
        <v>0</v>
      </c>
      <c r="Z122" s="87">
        <f t="shared" ref="Z122:Z126" si="96">Y122-K122</f>
        <v>0</v>
      </c>
      <c r="AA122" s="55" t="s">
        <v>196</v>
      </c>
      <c r="AB122" s="195">
        <f t="shared" si="95"/>
        <v>541</v>
      </c>
      <c r="AC122" s="195"/>
      <c r="AD122" s="87">
        <f t="shared" ref="AD122:AD126" si="97">U122</f>
        <v>0</v>
      </c>
      <c r="AE122" s="87">
        <f>_xlfn.IFNA(VLOOKUP(G122,[5]Rashodi!$B$88:$F$92,5,FALSE), 0)</f>
        <v>0</v>
      </c>
      <c r="AF122" s="194">
        <f t="shared" si="93"/>
        <v>0</v>
      </c>
    </row>
    <row r="123" spans="1:32" ht="20.100000000000001" customHeight="1" outlineLevel="1" x14ac:dyDescent="0.2">
      <c r="A123" s="30" t="s">
        <v>472</v>
      </c>
      <c r="B123" s="26" t="s">
        <v>327</v>
      </c>
      <c r="C123" s="30">
        <v>541</v>
      </c>
      <c r="D123" s="30" t="str">
        <f>LEFT(G123,1)</f>
        <v>3</v>
      </c>
      <c r="E123" s="30" t="str">
        <f>LEFT(G123,2)</f>
        <v>32</v>
      </c>
      <c r="F123" s="26" t="str">
        <f t="shared" si="74"/>
        <v>322</v>
      </c>
      <c r="G123" s="86" t="s">
        <v>75</v>
      </c>
      <c r="H123" s="86" t="s">
        <v>77</v>
      </c>
      <c r="I123" s="87">
        <f>_xlfn.IFNA(VLOOKUP(G123,'Posebni dio-programska_2024'!A$126:D$130,4,FALSE),999999)</f>
        <v>79.599999999999994</v>
      </c>
      <c r="J123" s="87">
        <v>100</v>
      </c>
      <c r="K123" s="87">
        <v>39.99</v>
      </c>
      <c r="L123" s="87">
        <f t="shared" si="80"/>
        <v>50.238693467336695</v>
      </c>
      <c r="M123" s="87">
        <f t="shared" si="81"/>
        <v>39.99</v>
      </c>
      <c r="N123" s="31"/>
      <c r="S123" s="87">
        <v>39.99</v>
      </c>
      <c r="T123" s="87">
        <v>39.99</v>
      </c>
      <c r="U123" s="87">
        <f t="shared" si="94"/>
        <v>0</v>
      </c>
      <c r="Y123" s="87">
        <f>_xlfn.IFNA(VLOOKUP(G123,[4]IspisZahtjevaRviRazdobljaSumira!$A$126:$G$130,6,FALSE),999999)</f>
        <v>39.99</v>
      </c>
      <c r="Z123" s="87">
        <f t="shared" si="96"/>
        <v>0</v>
      </c>
      <c r="AA123" s="55" t="s">
        <v>197</v>
      </c>
      <c r="AB123" s="195">
        <f t="shared" si="95"/>
        <v>541</v>
      </c>
      <c r="AC123" s="195"/>
      <c r="AD123" s="87">
        <f t="shared" si="97"/>
        <v>0</v>
      </c>
      <c r="AE123" s="87">
        <f>_xlfn.IFNA(VLOOKUP(G123,[5]Rashodi!$B$88:$F$92,5,FALSE), 0)</f>
        <v>39.99</v>
      </c>
      <c r="AF123" s="194">
        <f t="shared" si="93"/>
        <v>0</v>
      </c>
    </row>
    <row r="124" spans="1:32" ht="20.100000000000001" customHeight="1" outlineLevel="1" x14ac:dyDescent="0.2">
      <c r="A124" s="30" t="s">
        <v>472</v>
      </c>
      <c r="B124" s="26" t="s">
        <v>327</v>
      </c>
      <c r="C124" s="30">
        <v>541</v>
      </c>
      <c r="D124" s="30" t="str">
        <f>LEFT(G124,1)</f>
        <v>3</v>
      </c>
      <c r="E124" s="30" t="str">
        <f>LEFT(G124,2)</f>
        <v>32</v>
      </c>
      <c r="F124" s="26" t="str">
        <f t="shared" si="74"/>
        <v>322</v>
      </c>
      <c r="G124" s="86" t="s">
        <v>84</v>
      </c>
      <c r="H124" s="86" t="s">
        <v>86</v>
      </c>
      <c r="I124" s="87">
        <f>_xlfn.IFNA(VLOOKUP(G124,'Posebni dio-programska_2024'!A$126:D$130,4,FALSE),999999)</f>
        <v>0</v>
      </c>
      <c r="J124" s="87">
        <v>300</v>
      </c>
      <c r="K124" s="87">
        <v>268.10000000000002</v>
      </c>
      <c r="L124" s="87">
        <f t="shared" si="80"/>
        <v>0</v>
      </c>
      <c r="M124" s="87">
        <f t="shared" si="81"/>
        <v>89.366666666666674</v>
      </c>
      <c r="N124" s="31"/>
      <c r="S124" s="87">
        <v>268.10000000000002</v>
      </c>
      <c r="T124" s="87">
        <v>268.10000000000002</v>
      </c>
      <c r="U124" s="87">
        <f t="shared" si="94"/>
        <v>0</v>
      </c>
      <c r="Y124" s="87">
        <f>_xlfn.IFNA(VLOOKUP(G124,[4]IspisZahtjevaRviRazdobljaSumira!$A$126:$G$130,6,FALSE),999999)</f>
        <v>268.10000000000002</v>
      </c>
      <c r="Z124" s="87">
        <f t="shared" si="96"/>
        <v>0</v>
      </c>
      <c r="AA124" s="55" t="s">
        <v>198</v>
      </c>
      <c r="AB124" s="195">
        <f t="shared" si="95"/>
        <v>541</v>
      </c>
      <c r="AC124" s="195"/>
      <c r="AD124" s="87">
        <f t="shared" si="97"/>
        <v>0</v>
      </c>
      <c r="AE124" s="87">
        <f>_xlfn.IFNA(VLOOKUP(G124,[5]Rashodi!$B$88:$F$92,5,FALSE), 0)</f>
        <v>268.10000000000002</v>
      </c>
      <c r="AF124" s="194">
        <f t="shared" si="93"/>
        <v>0</v>
      </c>
    </row>
    <row r="125" spans="1:32" ht="20.100000000000001" customHeight="1" outlineLevel="1" x14ac:dyDescent="0.2">
      <c r="A125" s="30" t="s">
        <v>472</v>
      </c>
      <c r="B125" s="26" t="s">
        <v>327</v>
      </c>
      <c r="C125" s="30">
        <v>541</v>
      </c>
      <c r="D125" s="30" t="str">
        <f>LEFT(G125,1)</f>
        <v>3</v>
      </c>
      <c r="E125" s="30" t="str">
        <f>LEFT(G125,2)</f>
        <v>32</v>
      </c>
      <c r="F125" s="26" t="str">
        <f t="shared" si="74"/>
        <v>323</v>
      </c>
      <c r="G125" s="86" t="s">
        <v>97</v>
      </c>
      <c r="H125" s="86" t="s">
        <v>99</v>
      </c>
      <c r="I125" s="87">
        <f>_xlfn.IFNA(VLOOKUP(G125,'Posebni dio-programska_2024'!A$126:D$130,4,FALSE),999999)</f>
        <v>174.88</v>
      </c>
      <c r="J125" s="87">
        <v>0</v>
      </c>
      <c r="K125" s="87"/>
      <c r="L125" s="87">
        <f t="shared" si="80"/>
        <v>0</v>
      </c>
      <c r="M125" s="87">
        <f t="shared" si="81"/>
        <v>0</v>
      </c>
      <c r="N125" s="31"/>
      <c r="S125" s="87"/>
      <c r="T125" s="87"/>
      <c r="U125" s="87">
        <f t="shared" si="94"/>
        <v>0</v>
      </c>
      <c r="Y125" s="87">
        <f>_xlfn.IFNA(VLOOKUP(G125,[4]IspisZahtjevaRviRazdobljaSumira!$A$126:$G$130,6,FALSE),999999)</f>
        <v>0</v>
      </c>
      <c r="Z125" s="87">
        <f t="shared" si="96"/>
        <v>0</v>
      </c>
      <c r="AA125" s="55" t="s">
        <v>199</v>
      </c>
      <c r="AB125" s="195">
        <f t="shared" si="95"/>
        <v>541</v>
      </c>
      <c r="AC125" s="195"/>
      <c r="AD125" s="87">
        <f t="shared" si="97"/>
        <v>0</v>
      </c>
      <c r="AE125" s="87">
        <f>_xlfn.IFNA(VLOOKUP(G125,[5]Rashodi!$B$88:$F$92,5,FALSE), 0)</f>
        <v>0</v>
      </c>
      <c r="AF125" s="194">
        <f t="shared" si="93"/>
        <v>0</v>
      </c>
    </row>
    <row r="126" spans="1:32" ht="20.100000000000001" customHeight="1" outlineLevel="1" x14ac:dyDescent="0.2">
      <c r="A126" s="30" t="s">
        <v>472</v>
      </c>
      <c r="B126" s="26" t="s">
        <v>327</v>
      </c>
      <c r="C126" s="30">
        <v>541</v>
      </c>
      <c r="D126" s="30" t="str">
        <f>LEFT(G126,1)</f>
        <v>3</v>
      </c>
      <c r="E126" s="30" t="str">
        <f>LEFT(G126,2)</f>
        <v>32</v>
      </c>
      <c r="F126" s="26" t="str">
        <f t="shared" si="74"/>
        <v>329</v>
      </c>
      <c r="G126" s="86" t="s">
        <v>154</v>
      </c>
      <c r="H126" s="86" t="s">
        <v>156</v>
      </c>
      <c r="I126" s="87">
        <f>_xlfn.IFNA(VLOOKUP(G126,'Posebni dio-programska_2024'!A$126:D$130,4,FALSE),999999)</f>
        <v>298.98</v>
      </c>
      <c r="J126" s="87">
        <v>600</v>
      </c>
      <c r="K126" s="87"/>
      <c r="L126" s="87">
        <f t="shared" si="80"/>
        <v>0</v>
      </c>
      <c r="M126" s="87">
        <f t="shared" si="81"/>
        <v>0</v>
      </c>
      <c r="N126" s="31"/>
      <c r="S126" s="87"/>
      <c r="T126" s="87"/>
      <c r="U126" s="87">
        <f t="shared" si="94"/>
        <v>0</v>
      </c>
      <c r="Y126" s="87">
        <f>_xlfn.IFNA(VLOOKUP(G126,[4]IspisZahtjevaRviRazdobljaSumira!$A$126:$G$130,6,FALSE),999999)</f>
        <v>0</v>
      </c>
      <c r="Z126" s="87">
        <f t="shared" si="96"/>
        <v>0</v>
      </c>
      <c r="AA126" s="55" t="s">
        <v>200</v>
      </c>
      <c r="AB126" s="195">
        <f t="shared" si="95"/>
        <v>541</v>
      </c>
      <c r="AC126" s="195"/>
      <c r="AD126" s="87">
        <f t="shared" si="97"/>
        <v>0</v>
      </c>
      <c r="AE126" s="87">
        <f>_xlfn.IFNA(VLOOKUP(G126,[5]Rashodi!$B$88:$F$92,5,FALSE), 0)</f>
        <v>0</v>
      </c>
      <c r="AF126" s="194">
        <f t="shared" si="93"/>
        <v>0</v>
      </c>
    </row>
    <row r="127" spans="1:32" ht="24.95" customHeight="1" x14ac:dyDescent="0.2">
      <c r="A127" s="30"/>
      <c r="G127" s="230" t="s">
        <v>201</v>
      </c>
      <c r="H127" s="230"/>
      <c r="I127" s="79">
        <f>SUMIFS(I128:I296,$B128:$B296,"A212401",$C128:$C296,"561")</f>
        <v>17178.649999999998</v>
      </c>
      <c r="J127" s="79">
        <f>SUMIFS(J128:J296,$B128:$B296,"A212401",$C128:$C296,"561")</f>
        <v>28000</v>
      </c>
      <c r="K127" s="79">
        <f>SUMIFS(K128:K296,$B128:$B296,"A212401",$C128:$C296,"561")</f>
        <v>27200.49</v>
      </c>
      <c r="L127" s="79">
        <f t="shared" si="80"/>
        <v>158.33892651634446</v>
      </c>
      <c r="M127" s="79">
        <f t="shared" si="81"/>
        <v>97.144607142857154</v>
      </c>
      <c r="S127" s="79">
        <f>SUMIFS(S128:S296,$B128:$B296,"A212401",$C128:$C296,"561")</f>
        <v>27200.49</v>
      </c>
      <c r="T127" s="79">
        <f>SUMIFS(T128:T296,$B128:$B296,"A212401",$C128:$C296,"561")</f>
        <v>27200.49</v>
      </c>
      <c r="U127" s="79">
        <f>SUMIFS(U128:U296,$B128:$B296,"A212401",$C128:$C296,"561")</f>
        <v>0</v>
      </c>
      <c r="Y127" s="79">
        <f>SUMIFS(Y128:Y296,$B128:$B296,"A212401",$C128:$C296,"561")</f>
        <v>27200.49</v>
      </c>
      <c r="Z127" s="79">
        <f>SUMIFS(Z128:Z296,$B128:$B296,"A212401",$C128:$C296,"561")</f>
        <v>0</v>
      </c>
      <c r="AA127" s="55"/>
      <c r="AB127" s="195">
        <f t="shared" si="95"/>
        <v>0</v>
      </c>
      <c r="AC127" s="195"/>
      <c r="AD127" s="79">
        <f>SUMIFS(AD128:AD296,$B128:$B296,"A212401",$C128:$C296,"561")</f>
        <v>0</v>
      </c>
      <c r="AE127" s="79">
        <f>SUMIFS(AE128:AE296,$B128:$B296,"A212401",$C128:$C296,"561")</f>
        <v>27200.49</v>
      </c>
      <c r="AF127" s="194">
        <f t="shared" si="93"/>
        <v>0</v>
      </c>
    </row>
    <row r="128" spans="1:32" ht="20.100000000000001" customHeight="1" outlineLevel="1" x14ac:dyDescent="0.2">
      <c r="A128" s="30" t="s">
        <v>472</v>
      </c>
      <c r="B128" s="26" t="s">
        <v>327</v>
      </c>
      <c r="C128" s="30">
        <v>561</v>
      </c>
      <c r="D128" s="30" t="str">
        <f t="shared" ref="D128:D134" si="98">LEFT(G128,1)</f>
        <v>3</v>
      </c>
      <c r="E128" s="30" t="str">
        <f t="shared" ref="E128:E134" si="99">LEFT(G128,2)</f>
        <v>32</v>
      </c>
      <c r="F128" s="26" t="str">
        <f t="shared" si="74"/>
        <v>321</v>
      </c>
      <c r="G128" s="86" t="s">
        <v>130</v>
      </c>
      <c r="H128" s="86" t="s">
        <v>132</v>
      </c>
      <c r="I128" s="87">
        <f>_xlfn.IFNA(VLOOKUP(G128,'Posebni dio-programska_2024'!A$132:D$135,4,FALSE),999999)</f>
        <v>11603.06</v>
      </c>
      <c r="J128" s="87">
        <v>18000</v>
      </c>
      <c r="K128" s="87">
        <f>21349.13+320</f>
        <v>21669.13</v>
      </c>
      <c r="L128" s="87">
        <f t="shared" si="80"/>
        <v>186.75358052100052</v>
      </c>
      <c r="M128" s="87">
        <f t="shared" si="81"/>
        <v>120.38405555555556</v>
      </c>
      <c r="N128" s="31"/>
      <c r="S128" s="87">
        <f>21349.13+320</f>
        <v>21669.13</v>
      </c>
      <c r="T128" s="87">
        <f>21349.13+320</f>
        <v>21669.13</v>
      </c>
      <c r="U128" s="87">
        <f t="shared" si="94"/>
        <v>0</v>
      </c>
      <c r="Y128" s="87">
        <f>_xlfn.IFNA(VLOOKUP(G128,[4]IspisZahtjevaRviRazdobljaSumira!$A$132:$G$138,6,FALSE),999999)</f>
        <v>21669.13</v>
      </c>
      <c r="Z128" s="87">
        <f t="shared" ref="Z128:Z134" si="100">Y128-K128</f>
        <v>0</v>
      </c>
      <c r="AA128" s="55" t="s">
        <v>202</v>
      </c>
      <c r="AB128" s="195">
        <f t="shared" si="95"/>
        <v>561</v>
      </c>
      <c r="AC128" s="195"/>
      <c r="AD128" s="87">
        <f t="shared" ref="AD128:AD134" si="101">U128</f>
        <v>0</v>
      </c>
      <c r="AE128" s="87">
        <f>_xlfn.IFNA(VLOOKUP(G128,[5]Rashodi!$B$94:$F$100,5,FALSE), 0)</f>
        <v>21669.13</v>
      </c>
      <c r="AF128" s="194">
        <f t="shared" si="93"/>
        <v>0</v>
      </c>
    </row>
    <row r="129" spans="1:32" ht="20.100000000000001" customHeight="1" outlineLevel="1" x14ac:dyDescent="0.2">
      <c r="A129" s="30" t="s">
        <v>472</v>
      </c>
      <c r="B129" s="26" t="s">
        <v>327</v>
      </c>
      <c r="C129" s="30">
        <v>561</v>
      </c>
      <c r="D129" s="30" t="str">
        <f t="shared" si="98"/>
        <v>3</v>
      </c>
      <c r="E129" s="30" t="str">
        <f t="shared" si="99"/>
        <v>32</v>
      </c>
      <c r="F129" s="26" t="str">
        <f t="shared" si="74"/>
        <v>321</v>
      </c>
      <c r="G129" s="86" t="s">
        <v>69</v>
      </c>
      <c r="H129" s="86" t="s">
        <v>71</v>
      </c>
      <c r="I129" s="87">
        <f>_xlfn.IFNA(VLOOKUP(G129,'Posebni dio-programska_2024'!A$132:D$135,4,FALSE),999999)</f>
        <v>3380</v>
      </c>
      <c r="J129" s="87">
        <v>4000</v>
      </c>
      <c r="K129" s="87">
        <v>2150</v>
      </c>
      <c r="L129" s="87">
        <f t="shared" si="80"/>
        <v>63.609467455621306</v>
      </c>
      <c r="M129" s="87">
        <f t="shared" si="81"/>
        <v>53.75</v>
      </c>
      <c r="N129" s="31"/>
      <c r="S129" s="87">
        <v>2150</v>
      </c>
      <c r="T129" s="87">
        <v>2150</v>
      </c>
      <c r="U129" s="87">
        <f t="shared" si="94"/>
        <v>0</v>
      </c>
      <c r="Y129" s="87">
        <f>_xlfn.IFNA(VLOOKUP(G129,[4]IspisZahtjevaRviRazdobljaSumira!$A$132:$G$138,6,FALSE),999999)</f>
        <v>2150</v>
      </c>
      <c r="Z129" s="87">
        <f t="shared" si="100"/>
        <v>0</v>
      </c>
      <c r="AA129" s="55" t="s">
        <v>203</v>
      </c>
      <c r="AB129" s="195">
        <f t="shared" si="95"/>
        <v>561</v>
      </c>
      <c r="AC129" s="195"/>
      <c r="AD129" s="87">
        <f t="shared" si="101"/>
        <v>0</v>
      </c>
      <c r="AE129" s="87">
        <f>_xlfn.IFNA(VLOOKUP(G129,[5]Rashodi!$B$94:$F$100,5,FALSE), 0)</f>
        <v>2150</v>
      </c>
      <c r="AF129" s="194">
        <f t="shared" si="93"/>
        <v>0</v>
      </c>
    </row>
    <row r="130" spans="1:32" ht="20.100000000000001" customHeight="1" outlineLevel="1" x14ac:dyDescent="0.2">
      <c r="A130" s="30" t="s">
        <v>472</v>
      </c>
      <c r="B130" s="26" t="s">
        <v>327</v>
      </c>
      <c r="C130" s="30">
        <v>561</v>
      </c>
      <c r="D130" s="30" t="str">
        <f t="shared" si="98"/>
        <v>3</v>
      </c>
      <c r="E130" s="30" t="str">
        <f t="shared" si="99"/>
        <v>32</v>
      </c>
      <c r="F130" s="26" t="str">
        <f>LEFT(G130,3)</f>
        <v>323</v>
      </c>
      <c r="G130" s="86" t="s">
        <v>38</v>
      </c>
      <c r="H130" s="86" t="s">
        <v>40</v>
      </c>
      <c r="I130" s="87">
        <f>_xlfn.IFNA(VLOOKUP(G130,'Posebni dio-programska_2024'!A$132:D$135,4,FALSE),999999)</f>
        <v>1998.75</v>
      </c>
      <c r="J130" s="87">
        <v>0</v>
      </c>
      <c r="K130" s="87"/>
      <c r="L130" s="87">
        <f t="shared" si="80"/>
        <v>0</v>
      </c>
      <c r="M130" s="87">
        <f t="shared" si="81"/>
        <v>0</v>
      </c>
      <c r="N130" s="31"/>
      <c r="S130" s="87"/>
      <c r="T130" s="87"/>
      <c r="U130" s="87">
        <f t="shared" si="94"/>
        <v>0</v>
      </c>
      <c r="Y130" s="87">
        <f>_xlfn.IFNA(VLOOKUP(G130,[4]IspisZahtjevaRviRazdobljaSumira!$A$132:$G$138,6,FALSE),999999)</f>
        <v>0</v>
      </c>
      <c r="Z130" s="87">
        <f t="shared" si="100"/>
        <v>0</v>
      </c>
      <c r="AA130" s="55" t="s">
        <v>204</v>
      </c>
      <c r="AB130" s="195">
        <f t="shared" si="95"/>
        <v>561</v>
      </c>
      <c r="AC130" s="195"/>
      <c r="AD130" s="87">
        <f t="shared" si="101"/>
        <v>0</v>
      </c>
      <c r="AE130" s="87">
        <f>_xlfn.IFNA(VLOOKUP(G130,[5]Rashodi!$B$94:$F$100,5,FALSE), 0)</f>
        <v>0</v>
      </c>
      <c r="AF130" s="194">
        <f t="shared" si="93"/>
        <v>0</v>
      </c>
    </row>
    <row r="131" spans="1:32" ht="20.100000000000001" customHeight="1" outlineLevel="1" x14ac:dyDescent="0.2">
      <c r="A131" s="30" t="s">
        <v>472</v>
      </c>
      <c r="B131" s="26" t="s">
        <v>327</v>
      </c>
      <c r="C131" s="30">
        <v>561</v>
      </c>
      <c r="D131" s="30" t="str">
        <f t="shared" si="98"/>
        <v>3</v>
      </c>
      <c r="E131" s="30" t="str">
        <f t="shared" si="99"/>
        <v>32</v>
      </c>
      <c r="F131" s="26" t="str">
        <f>LEFT(G131,3)</f>
        <v>323</v>
      </c>
      <c r="G131" s="86" t="s">
        <v>91</v>
      </c>
      <c r="H131" s="86" t="s">
        <v>93</v>
      </c>
      <c r="I131" s="87">
        <v>0</v>
      </c>
      <c r="J131" s="87">
        <v>4000</v>
      </c>
      <c r="K131" s="87">
        <v>2327</v>
      </c>
      <c r="L131" s="87">
        <f t="shared" si="80"/>
        <v>0</v>
      </c>
      <c r="M131" s="87">
        <f t="shared" si="81"/>
        <v>58.174999999999997</v>
      </c>
      <c r="N131" s="31"/>
      <c r="S131" s="87">
        <v>2327</v>
      </c>
      <c r="T131" s="87">
        <v>2327</v>
      </c>
      <c r="U131" s="87">
        <f t="shared" si="94"/>
        <v>0</v>
      </c>
      <c r="Y131" s="87">
        <f>_xlfn.IFNA(VLOOKUP(G131,[4]IspisZahtjevaRviRazdobljaSumira!$A$132:$G$138,6,FALSE),999999)</f>
        <v>2327</v>
      </c>
      <c r="Z131" s="87">
        <f t="shared" si="100"/>
        <v>0</v>
      </c>
      <c r="AA131" s="55" t="s">
        <v>205</v>
      </c>
      <c r="AB131" s="195">
        <f t="shared" si="95"/>
        <v>561</v>
      </c>
      <c r="AC131" s="195"/>
      <c r="AD131" s="87">
        <f t="shared" si="101"/>
        <v>0</v>
      </c>
      <c r="AE131" s="87">
        <f>_xlfn.IFNA(VLOOKUP(G131,[5]Rashodi!$B$94:$F$100,5,FALSE), 0)</f>
        <v>2327</v>
      </c>
      <c r="AF131" s="194">
        <f t="shared" si="93"/>
        <v>0</v>
      </c>
    </row>
    <row r="132" spans="1:32" ht="20.100000000000001" customHeight="1" outlineLevel="1" x14ac:dyDescent="0.2">
      <c r="A132" s="30" t="s">
        <v>472</v>
      </c>
      <c r="B132" s="26" t="s">
        <v>327</v>
      </c>
      <c r="C132" s="30">
        <v>561</v>
      </c>
      <c r="D132" s="30" t="str">
        <f>LEFT(G132,1)</f>
        <v>3</v>
      </c>
      <c r="E132" s="30" t="str">
        <f>LEFT(G132,2)</f>
        <v>32</v>
      </c>
      <c r="F132" s="26" t="str">
        <f>LEFT(G132,3)</f>
        <v>323</v>
      </c>
      <c r="G132" s="86" t="s">
        <v>41</v>
      </c>
      <c r="H132" s="86" t="s">
        <v>43</v>
      </c>
      <c r="I132" s="87">
        <f>_xlfn.IFNA(VLOOKUP(G132,'Posebni dio-programska_2024'!A$132:D$135,4,FALSE),999999)</f>
        <v>196.84</v>
      </c>
      <c r="J132" s="87">
        <v>0</v>
      </c>
      <c r="K132" s="87"/>
      <c r="L132" s="87">
        <f t="shared" si="80"/>
        <v>0</v>
      </c>
      <c r="M132" s="87">
        <f t="shared" si="81"/>
        <v>0</v>
      </c>
      <c r="N132" s="31"/>
      <c r="S132" s="87"/>
      <c r="T132" s="87"/>
      <c r="U132" s="87">
        <f t="shared" si="94"/>
        <v>0</v>
      </c>
      <c r="Y132" s="87">
        <f>_xlfn.IFNA(VLOOKUP(G132,[4]IspisZahtjevaRviRazdobljaSumira!$A$132:$G$138,6,FALSE),999999)</f>
        <v>0</v>
      </c>
      <c r="Z132" s="87">
        <f t="shared" si="100"/>
        <v>0</v>
      </c>
      <c r="AA132" s="55" t="s">
        <v>206</v>
      </c>
      <c r="AB132" s="195">
        <f t="shared" si="95"/>
        <v>561</v>
      </c>
      <c r="AC132" s="195"/>
      <c r="AD132" s="87">
        <f t="shared" si="101"/>
        <v>0</v>
      </c>
      <c r="AE132" s="87">
        <f>_xlfn.IFNA(VLOOKUP(G132,[5]Rashodi!$B$94:$F$100,5,FALSE), 0)</f>
        <v>0</v>
      </c>
      <c r="AF132" s="194">
        <f t="shared" si="93"/>
        <v>0</v>
      </c>
    </row>
    <row r="133" spans="1:32" ht="20.100000000000001" customHeight="1" outlineLevel="1" x14ac:dyDescent="0.2">
      <c r="A133" s="30" t="s">
        <v>472</v>
      </c>
      <c r="B133" s="26" t="s">
        <v>327</v>
      </c>
      <c r="C133" s="30">
        <v>561</v>
      </c>
      <c r="D133" s="30" t="str">
        <f t="shared" ref="D133" si="102">LEFT(G133,1)</f>
        <v>3</v>
      </c>
      <c r="E133" s="30" t="str">
        <f t="shared" ref="E133" si="103">LEFT(G133,2)</f>
        <v>32</v>
      </c>
      <c r="F133" s="26" t="str">
        <f>LEFT(G133,3)</f>
        <v>323</v>
      </c>
      <c r="G133" s="95">
        <v>3239</v>
      </c>
      <c r="H133" s="86" t="s">
        <v>128</v>
      </c>
      <c r="I133" s="87">
        <v>0</v>
      </c>
      <c r="J133" s="87">
        <v>0</v>
      </c>
      <c r="K133" s="87">
        <v>786.71</v>
      </c>
      <c r="L133" s="87">
        <f t="shared" si="80"/>
        <v>0</v>
      </c>
      <c r="M133" s="87">
        <f t="shared" si="81"/>
        <v>0</v>
      </c>
      <c r="N133" s="31"/>
      <c r="S133" s="87">
        <v>786.71</v>
      </c>
      <c r="T133" s="87">
        <v>786.71</v>
      </c>
      <c r="U133" s="87">
        <f t="shared" si="94"/>
        <v>0</v>
      </c>
      <c r="Y133" s="87">
        <f>_xlfn.IFNA(VLOOKUP(G133,[4]IspisZahtjevaRviRazdobljaSumira!$A$132:$G$138,6,FALSE),999999)</f>
        <v>786.71</v>
      </c>
      <c r="Z133" s="87">
        <f t="shared" si="100"/>
        <v>0</v>
      </c>
      <c r="AA133" s="55" t="s">
        <v>565</v>
      </c>
      <c r="AB133" s="195">
        <f t="shared" si="95"/>
        <v>561</v>
      </c>
      <c r="AC133" s="195"/>
      <c r="AD133" s="87">
        <f t="shared" si="101"/>
        <v>0</v>
      </c>
      <c r="AE133" s="87">
        <f>_xlfn.IFNA(VLOOKUP(G133,[5]Rashodi!$B$94:$F$100,5,FALSE), 0)</f>
        <v>786.71</v>
      </c>
      <c r="AF133" s="194">
        <f t="shared" si="93"/>
        <v>0</v>
      </c>
    </row>
    <row r="134" spans="1:32" ht="20.100000000000001" customHeight="1" outlineLevel="1" x14ac:dyDescent="0.2">
      <c r="A134" s="30" t="s">
        <v>472</v>
      </c>
      <c r="B134" s="26" t="s">
        <v>327</v>
      </c>
      <c r="C134" s="30">
        <v>561</v>
      </c>
      <c r="D134" s="30" t="str">
        <f t="shared" si="98"/>
        <v>3</v>
      </c>
      <c r="E134" s="30" t="str">
        <f t="shared" si="99"/>
        <v>32</v>
      </c>
      <c r="F134" s="26" t="str">
        <f>LEFT(G134,3)</f>
        <v>329</v>
      </c>
      <c r="G134" s="86" t="s">
        <v>154</v>
      </c>
      <c r="H134" s="86" t="s">
        <v>156</v>
      </c>
      <c r="I134" s="87">
        <v>0</v>
      </c>
      <c r="J134" s="87">
        <v>2000</v>
      </c>
      <c r="K134" s="87">
        <v>267.64999999999998</v>
      </c>
      <c r="L134" s="87">
        <f t="shared" si="80"/>
        <v>0</v>
      </c>
      <c r="M134" s="87">
        <f t="shared" si="81"/>
        <v>13.3825</v>
      </c>
      <c r="N134" s="31"/>
      <c r="S134" s="87">
        <v>267.64999999999998</v>
      </c>
      <c r="T134" s="87">
        <v>267.64999999999998</v>
      </c>
      <c r="U134" s="87">
        <f t="shared" si="94"/>
        <v>0</v>
      </c>
      <c r="Y134" s="87">
        <f>_xlfn.IFNA(VLOOKUP(G134,[4]IspisZahtjevaRviRazdobljaSumira!$A$132:$G$138,6,FALSE),999999)</f>
        <v>267.64999999999998</v>
      </c>
      <c r="Z134" s="87">
        <f t="shared" si="100"/>
        <v>0</v>
      </c>
      <c r="AA134" s="55" t="s">
        <v>207</v>
      </c>
      <c r="AB134" s="195">
        <f t="shared" si="95"/>
        <v>561</v>
      </c>
      <c r="AC134" s="195"/>
      <c r="AD134" s="87">
        <f t="shared" si="101"/>
        <v>0</v>
      </c>
      <c r="AE134" s="87">
        <f>_xlfn.IFNA(VLOOKUP(G134,[5]Rashodi!$B$94:$F$100,5,FALSE), 0)</f>
        <v>267.64999999999998</v>
      </c>
      <c r="AF134" s="194">
        <f t="shared" si="93"/>
        <v>0</v>
      </c>
    </row>
    <row r="135" spans="1:32" ht="24.95" customHeight="1" x14ac:dyDescent="0.2">
      <c r="A135" s="30"/>
      <c r="G135" s="230" t="s">
        <v>37</v>
      </c>
      <c r="H135" s="230"/>
      <c r="I135" s="79">
        <f>SUMIFS(I136:I303,$B136:$B303,"A212401",$C136:$C303,"571")</f>
        <v>0</v>
      </c>
      <c r="J135" s="79">
        <f>SUMIFS(J136:J303,$B136:$B303,"A212401",$C136:$C303,"571")</f>
        <v>0</v>
      </c>
      <c r="K135" s="79">
        <f>SUMIFS(K136:K303,$B136:$B303,"A212401",$C136:$C303,"571")</f>
        <v>0</v>
      </c>
      <c r="L135" s="79">
        <f t="shared" si="80"/>
        <v>0</v>
      </c>
      <c r="M135" s="79">
        <f t="shared" si="81"/>
        <v>0</v>
      </c>
      <c r="S135" s="79">
        <f>SUMIFS(S136:S303,$B136:$B303,"A212401",$C136:$C303,"571")</f>
        <v>0</v>
      </c>
      <c r="T135" s="79">
        <f>SUMIFS(T136:T303,$B136:$B303,"A212401",$C136:$C303,"571")</f>
        <v>0</v>
      </c>
      <c r="U135" s="79">
        <f>SUMIFS(U136:U303,$B136:$B303,"A212401",$C136:$C303,"571")</f>
        <v>0</v>
      </c>
      <c r="Y135" s="79">
        <f>SUMIFS(Y136:Y303,$B136:$B303,"A212401",$C136:$C303,"571")</f>
        <v>0</v>
      </c>
      <c r="Z135" s="79">
        <f>SUMIFS(Z136:Z303,$B136:$B303,"A212401",$C136:$C303,"571")</f>
        <v>0</v>
      </c>
      <c r="AA135" s="55"/>
      <c r="AB135" s="195">
        <f t="shared" si="95"/>
        <v>0</v>
      </c>
      <c r="AC135" s="195"/>
      <c r="AD135" s="79">
        <f>SUMIFS(AD136:AD303,$B136:$B303,"A212401",$C136:$C303,"571")</f>
        <v>0</v>
      </c>
      <c r="AE135" s="79">
        <f>SUMIFS(AE136:AE303,$B136:$B303,"A212401",$C136:$C303,"571")</f>
        <v>0</v>
      </c>
      <c r="AF135" s="194">
        <f t="shared" ref="AF135:AF166" si="104">ROUND(K135-T135-AD135,2)</f>
        <v>0</v>
      </c>
    </row>
    <row r="136" spans="1:32" ht="20.100000000000001" customHeight="1" outlineLevel="1" thickBot="1" x14ac:dyDescent="0.25">
      <c r="A136" s="30" t="s">
        <v>472</v>
      </c>
      <c r="B136" s="26" t="s">
        <v>327</v>
      </c>
      <c r="C136" s="30">
        <v>571</v>
      </c>
      <c r="D136" s="30" t="str">
        <f>LEFT(G136,1)</f>
        <v>3</v>
      </c>
      <c r="E136" s="30" t="str">
        <f>LEFT(G136,2)</f>
        <v>32</v>
      </c>
      <c r="F136" s="26" t="str">
        <f>LEFT(G136,3)</f>
        <v>323</v>
      </c>
      <c r="G136" s="86" t="s">
        <v>41</v>
      </c>
      <c r="H136" s="86" t="s">
        <v>43</v>
      </c>
      <c r="I136" s="87">
        <v>0</v>
      </c>
      <c r="J136" s="87">
        <v>0</v>
      </c>
      <c r="K136" s="87">
        <v>0</v>
      </c>
      <c r="L136" s="87">
        <f t="shared" ref="L136:L199" si="105">IF(I136&lt;&gt;0,K136/I136*100,0)</f>
        <v>0</v>
      </c>
      <c r="M136" s="87">
        <f t="shared" ref="M136:M199" si="106">IF(J136&lt;&gt;0,K136/J136*100,0)</f>
        <v>0</v>
      </c>
      <c r="N136" s="31"/>
      <c r="S136" s="87">
        <v>0</v>
      </c>
      <c r="T136" s="87">
        <v>0</v>
      </c>
      <c r="U136" s="87">
        <v>0</v>
      </c>
      <c r="Y136" s="87">
        <v>0</v>
      </c>
      <c r="Z136" s="87">
        <v>0</v>
      </c>
      <c r="AA136" s="55" t="s">
        <v>208</v>
      </c>
      <c r="AB136" s="195">
        <f t="shared" si="95"/>
        <v>571</v>
      </c>
      <c r="AC136" s="195"/>
      <c r="AD136" s="87">
        <f>U136</f>
        <v>0</v>
      </c>
      <c r="AE136" s="87"/>
      <c r="AF136" s="194">
        <f t="shared" si="104"/>
        <v>0</v>
      </c>
    </row>
    <row r="137" spans="1:32" ht="35.1" customHeight="1" thickBot="1" x14ac:dyDescent="0.25">
      <c r="A137" s="30"/>
      <c r="G137" s="225" t="s">
        <v>209</v>
      </c>
      <c r="H137" s="225"/>
      <c r="I137" s="82">
        <f>I138+I150+I163+I181</f>
        <v>265042.77</v>
      </c>
      <c r="J137" s="82">
        <f>J138+J150+J163+J181</f>
        <v>312300</v>
      </c>
      <c r="K137" s="82">
        <f t="shared" ref="K137" si="107">K138+K150+K163+K181</f>
        <v>343465.23</v>
      </c>
      <c r="L137" s="82">
        <f t="shared" si="105"/>
        <v>129.58860564277984</v>
      </c>
      <c r="M137" s="82">
        <f t="shared" si="106"/>
        <v>109.97926032660902</v>
      </c>
      <c r="S137" s="82">
        <f t="shared" ref="S137" si="108">S138+S150+S163+S181</f>
        <v>343465.23</v>
      </c>
      <c r="T137" s="82">
        <f t="shared" ref="T137:U137" si="109">T138+T150+T163+T181</f>
        <v>342740.77999999997</v>
      </c>
      <c r="U137" s="82">
        <f t="shared" si="109"/>
        <v>724.44999999999709</v>
      </c>
      <c r="Y137" s="82">
        <f t="shared" ref="Y137:Z137" si="110">Y138+Y150+Y163+Y181</f>
        <v>342740.77999999997</v>
      </c>
      <c r="Z137" s="82">
        <f t="shared" si="110"/>
        <v>-724.44999999999709</v>
      </c>
      <c r="AA137" s="55"/>
      <c r="AB137" s="195">
        <f t="shared" si="95"/>
        <v>0</v>
      </c>
      <c r="AC137" s="195"/>
      <c r="AD137" s="82">
        <f t="shared" ref="AD137:AE137" si="111">AD138+AD150+AD163+AD181</f>
        <v>0</v>
      </c>
      <c r="AE137" s="82">
        <f t="shared" si="111"/>
        <v>342740.77999999997</v>
      </c>
      <c r="AF137" s="194">
        <f t="shared" si="104"/>
        <v>724.45</v>
      </c>
    </row>
    <row r="138" spans="1:32" ht="24.95" customHeight="1" x14ac:dyDescent="0.2">
      <c r="A138" s="30"/>
      <c r="G138" s="230" t="s">
        <v>56</v>
      </c>
      <c r="H138" s="230"/>
      <c r="I138" s="79">
        <f>SUMIFS(I139:I306,$B139:$B306,"A212402",$C139:$C306,"112")</f>
        <v>88823.22</v>
      </c>
      <c r="J138" s="79">
        <f>SUMIFS(J139:J306,$B139:$B306,"A212402",$C139:$C306,"112")</f>
        <v>180000</v>
      </c>
      <c r="K138" s="79">
        <f>SUMIFS(K139:K306,$B139:$B306,"A212402",$C139:$C306,"112")</f>
        <v>176730.08000000002</v>
      </c>
      <c r="L138" s="79">
        <f t="shared" si="105"/>
        <v>198.96833283008658</v>
      </c>
      <c r="M138" s="79">
        <f t="shared" si="106"/>
        <v>98.183377777777793</v>
      </c>
      <c r="S138" s="79">
        <f>SUMIFS(S139:S306,$B139:$B306,"A212402",$C139:$C306,"112")</f>
        <v>176005.63</v>
      </c>
      <c r="T138" s="79">
        <f>SUMIFS(T139:T306,$B139:$B306,"A212402",$C139:$C306,"112")</f>
        <v>176005.63</v>
      </c>
      <c r="U138" s="79">
        <f>SUMIFS(U139:U306,$B139:$B306,"A212402",$C139:$C306,"112")</f>
        <v>724.44999999999709</v>
      </c>
      <c r="V138" s="32"/>
      <c r="Y138" s="79">
        <f>SUMIFS(Y139:Y306,$B139:$B306,"A212402",$C139:$C306,"112")</f>
        <v>176005.63</v>
      </c>
      <c r="Z138" s="79">
        <f>SUMIFS(Z139:Z306,$B139:$B306,"A212402",$C139:$C306,"112")</f>
        <v>-724.44999999999709</v>
      </c>
      <c r="AA138" s="55"/>
      <c r="AB138" s="195">
        <f t="shared" si="95"/>
        <v>0</v>
      </c>
      <c r="AC138" s="195"/>
      <c r="AD138" s="79">
        <f>SUMIFS(AD139:AD306,$B139:$B306,"A212402",$C139:$C306,"112")</f>
        <v>0</v>
      </c>
      <c r="AE138" s="79">
        <f>SUMIFS(AE139:AE306,$B139:$B306,"A212402",$C139:$C306,"112")</f>
        <v>176005.63</v>
      </c>
      <c r="AF138" s="194">
        <f t="shared" si="104"/>
        <v>724.45</v>
      </c>
    </row>
    <row r="139" spans="1:32" ht="20.100000000000001" customHeight="1" outlineLevel="1" x14ac:dyDescent="0.2">
      <c r="A139" s="30" t="s">
        <v>472</v>
      </c>
      <c r="B139" s="26" t="s">
        <v>328</v>
      </c>
      <c r="C139" s="30">
        <v>112</v>
      </c>
      <c r="D139" s="30" t="str">
        <f t="shared" ref="D139:D149" si="112">LEFT(G139,1)</f>
        <v>3</v>
      </c>
      <c r="E139" s="30" t="str">
        <f t="shared" ref="E139:E149" si="113">LEFT(G139,2)</f>
        <v>32</v>
      </c>
      <c r="F139" s="26" t="str">
        <f t="shared" ref="F139:F188" si="114">LEFT(G139,3)</f>
        <v>321</v>
      </c>
      <c r="G139" s="86" t="s">
        <v>172</v>
      </c>
      <c r="H139" s="86" t="s">
        <v>174</v>
      </c>
      <c r="I139" s="87">
        <f>_xlfn.IFNA(VLOOKUP(G139,'Posebni dio-programska_2024'!A$138:D$148,4,FALSE),999999)</f>
        <v>0</v>
      </c>
      <c r="J139" s="87">
        <v>5000</v>
      </c>
      <c r="K139" s="87"/>
      <c r="L139" s="87">
        <f t="shared" si="105"/>
        <v>0</v>
      </c>
      <c r="M139" s="87">
        <f t="shared" si="106"/>
        <v>0</v>
      </c>
      <c r="N139" s="31"/>
      <c r="S139" s="87"/>
      <c r="T139" s="87">
        <v>0</v>
      </c>
      <c r="U139" s="87">
        <f t="shared" ref="U139:U188" si="115">K139-T139</f>
        <v>0</v>
      </c>
      <c r="Y139" s="87">
        <f>_xlfn.IFNA(VLOOKUP(G139,[4]IspisZahtjevaRviRazdobljaSumira!$A$143:$G$153,6,FALSE),999999)</f>
        <v>0</v>
      </c>
      <c r="Z139" s="87">
        <f t="shared" ref="Z139:Z149" si="116">Y139-K139</f>
        <v>0</v>
      </c>
      <c r="AA139" s="55" t="s">
        <v>210</v>
      </c>
      <c r="AB139" s="195">
        <f t="shared" si="95"/>
        <v>112</v>
      </c>
      <c r="AC139" s="195" t="str">
        <f t="shared" ref="AC139:AC149" si="117">B139</f>
        <v>A212402</v>
      </c>
      <c r="AD139" s="87">
        <f>U139</f>
        <v>0</v>
      </c>
      <c r="AE139" s="87">
        <f>_xlfn.IFNA(VLOOKUP(G139,[5]Rashodi!$B$105:$F$115,5,FALSE), 0)</f>
        <v>0</v>
      </c>
      <c r="AF139" s="194">
        <f t="shared" si="104"/>
        <v>0</v>
      </c>
    </row>
    <row r="140" spans="1:32" ht="20.100000000000001" customHeight="1" outlineLevel="1" x14ac:dyDescent="0.2">
      <c r="A140" s="30" t="s">
        <v>472</v>
      </c>
      <c r="B140" s="26" t="s">
        <v>328</v>
      </c>
      <c r="C140" s="30">
        <v>112</v>
      </c>
      <c r="D140" s="30" t="str">
        <f t="shared" si="112"/>
        <v>3</v>
      </c>
      <c r="E140" s="30" t="str">
        <f t="shared" si="113"/>
        <v>32</v>
      </c>
      <c r="F140" s="26" t="str">
        <f t="shared" si="114"/>
        <v>322</v>
      </c>
      <c r="G140" s="86" t="s">
        <v>72</v>
      </c>
      <c r="H140" s="86" t="s">
        <v>74</v>
      </c>
      <c r="I140" s="87">
        <f>_xlfn.IFNA(VLOOKUP(G140,'Posebni dio-programska_2024'!A$138:D$148,4,FALSE),999999)</f>
        <v>45353.34</v>
      </c>
      <c r="J140" s="87">
        <v>60000</v>
      </c>
      <c r="K140" s="87">
        <v>60724.45</v>
      </c>
      <c r="L140" s="87">
        <f t="shared" si="105"/>
        <v>133.89190299986726</v>
      </c>
      <c r="M140" s="87">
        <f t="shared" si="106"/>
        <v>101.20741666666666</v>
      </c>
      <c r="N140" s="31"/>
      <c r="S140" s="87">
        <f>K140+Z140</f>
        <v>60000</v>
      </c>
      <c r="T140" s="87">
        <v>60000</v>
      </c>
      <c r="U140" s="87">
        <f t="shared" si="115"/>
        <v>724.44999999999709</v>
      </c>
      <c r="Y140" s="87">
        <f>_xlfn.IFNA(VLOOKUP(G140,[4]IspisZahtjevaRviRazdobljaSumira!$A$143:$G$153,6,FALSE),999999)</f>
        <v>60000</v>
      </c>
      <c r="Z140" s="193">
        <f t="shared" si="116"/>
        <v>-724.44999999999709</v>
      </c>
      <c r="AA140" s="55" t="s">
        <v>211</v>
      </c>
      <c r="AB140" s="195">
        <f t="shared" si="95"/>
        <v>112</v>
      </c>
      <c r="AC140" s="195" t="str">
        <f t="shared" si="117"/>
        <v>A212402</v>
      </c>
      <c r="AD140" s="193"/>
      <c r="AE140" s="87">
        <f>_xlfn.IFNA(VLOOKUP(G140,[5]Rashodi!$B$105:$F$115,5,FALSE), 0)</f>
        <v>60000</v>
      </c>
      <c r="AF140" s="194">
        <f t="shared" si="104"/>
        <v>724.45</v>
      </c>
    </row>
    <row r="141" spans="1:32" ht="20.100000000000001" customHeight="1" outlineLevel="1" x14ac:dyDescent="0.2">
      <c r="A141" s="30" t="s">
        <v>472</v>
      </c>
      <c r="B141" s="26" t="s">
        <v>328</v>
      </c>
      <c r="C141" s="30">
        <v>112</v>
      </c>
      <c r="D141" s="30" t="str">
        <f t="shared" si="112"/>
        <v>3</v>
      </c>
      <c r="E141" s="30" t="str">
        <f t="shared" si="113"/>
        <v>32</v>
      </c>
      <c r="F141" s="26" t="str">
        <f t="shared" si="114"/>
        <v>322</v>
      </c>
      <c r="G141" s="86" t="s">
        <v>75</v>
      </c>
      <c r="H141" s="86" t="s">
        <v>77</v>
      </c>
      <c r="I141" s="87">
        <f>_xlfn.IFNA(VLOOKUP(G141,'Posebni dio-programska_2024'!A$138:D$148,4,FALSE),999999)</f>
        <v>500</v>
      </c>
      <c r="J141" s="87">
        <v>11200</v>
      </c>
      <c r="K141" s="87">
        <f>3629.5+1090.32+343.21</f>
        <v>5063.03</v>
      </c>
      <c r="L141" s="87">
        <f t="shared" si="105"/>
        <v>1012.6059999999999</v>
      </c>
      <c r="M141" s="87">
        <f t="shared" si="106"/>
        <v>45.205624999999998</v>
      </c>
      <c r="N141" s="31"/>
      <c r="S141" s="87">
        <f>3629.5+1090.32+343.21</f>
        <v>5063.03</v>
      </c>
      <c r="T141" s="87">
        <v>5063.03</v>
      </c>
      <c r="U141" s="87">
        <f t="shared" si="115"/>
        <v>0</v>
      </c>
      <c r="Y141" s="87">
        <f>_xlfn.IFNA(VLOOKUP(G141,[4]IspisZahtjevaRviRazdobljaSumira!$A$143:$G$153,6,FALSE),999999)</f>
        <v>5063.03</v>
      </c>
      <c r="Z141" s="87">
        <f t="shared" si="116"/>
        <v>0</v>
      </c>
      <c r="AA141" s="55" t="s">
        <v>212</v>
      </c>
      <c r="AB141" s="195">
        <f t="shared" si="95"/>
        <v>112</v>
      </c>
      <c r="AC141" s="195" t="str">
        <f t="shared" si="117"/>
        <v>A212402</v>
      </c>
      <c r="AD141" s="87">
        <f t="shared" ref="AD141:AD149" si="118">U141</f>
        <v>0</v>
      </c>
      <c r="AE141" s="87">
        <f>_xlfn.IFNA(VLOOKUP(G141,[5]Rashodi!$B$105:$F$115,5,FALSE), 0)</f>
        <v>5063.03</v>
      </c>
      <c r="AF141" s="194">
        <f t="shared" si="104"/>
        <v>0</v>
      </c>
    </row>
    <row r="142" spans="1:32" ht="20.100000000000001" customHeight="1" outlineLevel="1" x14ac:dyDescent="0.2">
      <c r="A142" s="30" t="s">
        <v>472</v>
      </c>
      <c r="B142" s="26" t="s">
        <v>328</v>
      </c>
      <c r="C142" s="30">
        <v>112</v>
      </c>
      <c r="D142" s="30" t="str">
        <f t="shared" si="112"/>
        <v>3</v>
      </c>
      <c r="E142" s="30" t="str">
        <f t="shared" si="113"/>
        <v>32</v>
      </c>
      <c r="F142" s="26" t="str">
        <f t="shared" si="114"/>
        <v>323</v>
      </c>
      <c r="G142" s="86" t="s">
        <v>87</v>
      </c>
      <c r="H142" s="86" t="s">
        <v>89</v>
      </c>
      <c r="I142" s="87">
        <f>_xlfn.IFNA(VLOOKUP(G142,'Posebni dio-programska_2024'!A$138:D$148,4,FALSE),999999)</f>
        <v>0</v>
      </c>
      <c r="J142" s="87">
        <v>0</v>
      </c>
      <c r="K142" s="87"/>
      <c r="L142" s="87">
        <f t="shared" si="105"/>
        <v>0</v>
      </c>
      <c r="M142" s="87">
        <f t="shared" si="106"/>
        <v>0</v>
      </c>
      <c r="N142" s="31"/>
      <c r="S142" s="87"/>
      <c r="T142" s="87">
        <v>0</v>
      </c>
      <c r="U142" s="87">
        <f t="shared" si="115"/>
        <v>0</v>
      </c>
      <c r="Y142" s="87">
        <f>_xlfn.IFNA(VLOOKUP(G142,[4]IspisZahtjevaRviRazdobljaSumira!$A$143:$G$153,6,FALSE),999999)</f>
        <v>0</v>
      </c>
      <c r="Z142" s="87">
        <f t="shared" si="116"/>
        <v>0</v>
      </c>
      <c r="AA142" s="55" t="s">
        <v>213</v>
      </c>
      <c r="AB142" s="195">
        <f t="shared" si="95"/>
        <v>112</v>
      </c>
      <c r="AC142" s="195" t="str">
        <f t="shared" si="117"/>
        <v>A212402</v>
      </c>
      <c r="AD142" s="87">
        <f t="shared" si="118"/>
        <v>0</v>
      </c>
      <c r="AE142" s="87">
        <f>_xlfn.IFNA(VLOOKUP(G142,[5]Rashodi!$B$105:$F$115,5,FALSE), 0)</f>
        <v>0</v>
      </c>
      <c r="AF142" s="194">
        <f t="shared" si="104"/>
        <v>0</v>
      </c>
    </row>
    <row r="143" spans="1:32" ht="20.100000000000001" customHeight="1" outlineLevel="1" x14ac:dyDescent="0.2">
      <c r="A143" s="30" t="s">
        <v>472</v>
      </c>
      <c r="B143" s="26" t="s">
        <v>328</v>
      </c>
      <c r="C143" s="30">
        <v>112</v>
      </c>
      <c r="D143" s="30" t="str">
        <f t="shared" si="112"/>
        <v>3</v>
      </c>
      <c r="E143" s="30" t="str">
        <f t="shared" si="113"/>
        <v>32</v>
      </c>
      <c r="F143" s="26" t="str">
        <f t="shared" si="114"/>
        <v>323</v>
      </c>
      <c r="G143" s="86" t="s">
        <v>38</v>
      </c>
      <c r="H143" s="86" t="s">
        <v>40</v>
      </c>
      <c r="I143" s="87">
        <f>_xlfn.IFNA(VLOOKUP(G143,'Posebni dio-programska_2024'!A$138:D$148,4,FALSE),999999)</f>
        <v>0</v>
      </c>
      <c r="J143" s="87">
        <v>0</v>
      </c>
      <c r="K143" s="87"/>
      <c r="L143" s="87">
        <f t="shared" si="105"/>
        <v>0</v>
      </c>
      <c r="M143" s="87">
        <f t="shared" si="106"/>
        <v>0</v>
      </c>
      <c r="N143" s="31"/>
      <c r="S143" s="87"/>
      <c r="T143" s="87">
        <v>0</v>
      </c>
      <c r="U143" s="87">
        <f t="shared" si="115"/>
        <v>0</v>
      </c>
      <c r="Y143" s="87">
        <f>_xlfn.IFNA(VLOOKUP(G143,[4]IspisZahtjevaRviRazdobljaSumira!$A$143:$G$153,6,FALSE),999999)</f>
        <v>0</v>
      </c>
      <c r="Z143" s="87">
        <f t="shared" si="116"/>
        <v>0</v>
      </c>
      <c r="AA143" s="55" t="s">
        <v>214</v>
      </c>
      <c r="AB143" s="195">
        <f t="shared" si="95"/>
        <v>112</v>
      </c>
      <c r="AC143" s="195" t="str">
        <f t="shared" si="117"/>
        <v>A212402</v>
      </c>
      <c r="AD143" s="87">
        <f t="shared" si="118"/>
        <v>0</v>
      </c>
      <c r="AE143" s="87">
        <f>_xlfn.IFNA(VLOOKUP(G143,[5]Rashodi!$B$105:$F$115,5,FALSE), 0)</f>
        <v>0</v>
      </c>
      <c r="AF143" s="194">
        <f t="shared" si="104"/>
        <v>0</v>
      </c>
    </row>
    <row r="144" spans="1:32" ht="20.100000000000001" customHeight="1" outlineLevel="1" x14ac:dyDescent="0.2">
      <c r="A144" s="30" t="s">
        <v>472</v>
      </c>
      <c r="B144" s="26" t="s">
        <v>328</v>
      </c>
      <c r="C144" s="30">
        <v>112</v>
      </c>
      <c r="D144" s="30" t="str">
        <f t="shared" si="112"/>
        <v>3</v>
      </c>
      <c r="E144" s="30" t="str">
        <f t="shared" si="113"/>
        <v>32</v>
      </c>
      <c r="F144" s="26" t="str">
        <f t="shared" si="114"/>
        <v>323</v>
      </c>
      <c r="G144" s="86" t="s">
        <v>91</v>
      </c>
      <c r="H144" s="86" t="s">
        <v>93</v>
      </c>
      <c r="I144" s="87">
        <f>_xlfn.IFNA(VLOOKUP(G144,'Posebni dio-programska_2024'!A$138:D$148,4,FALSE),999999)</f>
        <v>1054.04</v>
      </c>
      <c r="J144" s="87">
        <v>900</v>
      </c>
      <c r="K144" s="87">
        <v>591.25</v>
      </c>
      <c r="L144" s="87">
        <f t="shared" si="105"/>
        <v>56.093696633903832</v>
      </c>
      <c r="M144" s="87">
        <f t="shared" si="106"/>
        <v>65.694444444444443</v>
      </c>
      <c r="N144" s="31"/>
      <c r="S144" s="87">
        <v>591.25</v>
      </c>
      <c r="T144" s="87">
        <v>591.25</v>
      </c>
      <c r="U144" s="87">
        <f t="shared" si="115"/>
        <v>0</v>
      </c>
      <c r="Y144" s="87">
        <f>_xlfn.IFNA(VLOOKUP(G144,[4]IspisZahtjevaRviRazdobljaSumira!$A$143:$G$153,6,FALSE),999999)</f>
        <v>591.25</v>
      </c>
      <c r="Z144" s="87">
        <f t="shared" si="116"/>
        <v>0</v>
      </c>
      <c r="AA144" s="55" t="s">
        <v>215</v>
      </c>
      <c r="AB144" s="195">
        <f t="shared" si="95"/>
        <v>112</v>
      </c>
      <c r="AC144" s="195" t="str">
        <f t="shared" si="117"/>
        <v>A212402</v>
      </c>
      <c r="AD144" s="87">
        <f t="shared" si="118"/>
        <v>0</v>
      </c>
      <c r="AE144" s="87">
        <f>_xlfn.IFNA(VLOOKUP(G144,[5]Rashodi!$B$105:$F$115,5,FALSE), 0)</f>
        <v>591.25</v>
      </c>
      <c r="AF144" s="194">
        <f t="shared" si="104"/>
        <v>0</v>
      </c>
    </row>
    <row r="145" spans="1:32" ht="20.100000000000001" customHeight="1" outlineLevel="1" x14ac:dyDescent="0.2">
      <c r="A145" s="30" t="s">
        <v>472</v>
      </c>
      <c r="B145" s="26" t="s">
        <v>328</v>
      </c>
      <c r="C145" s="30">
        <v>112</v>
      </c>
      <c r="D145" s="30" t="str">
        <f t="shared" si="112"/>
        <v>3</v>
      </c>
      <c r="E145" s="30" t="str">
        <f t="shared" si="113"/>
        <v>32</v>
      </c>
      <c r="F145" s="26" t="str">
        <f t="shared" si="114"/>
        <v>323</v>
      </c>
      <c r="G145" s="86" t="s">
        <v>97</v>
      </c>
      <c r="H145" s="86" t="s">
        <v>99</v>
      </c>
      <c r="I145" s="87">
        <f>_xlfn.IFNA(VLOOKUP(G145,'Posebni dio-programska_2024'!A$138:D$148,4,FALSE),999999)</f>
        <v>0</v>
      </c>
      <c r="J145" s="87">
        <v>0</v>
      </c>
      <c r="K145" s="87"/>
      <c r="L145" s="87">
        <f t="shared" si="105"/>
        <v>0</v>
      </c>
      <c r="M145" s="87">
        <f t="shared" si="106"/>
        <v>0</v>
      </c>
      <c r="N145" s="31"/>
      <c r="S145" s="87"/>
      <c r="T145" s="87">
        <v>0</v>
      </c>
      <c r="U145" s="87">
        <f t="shared" si="115"/>
        <v>0</v>
      </c>
      <c r="Y145" s="87">
        <f>_xlfn.IFNA(VLOOKUP(G145,[4]IspisZahtjevaRviRazdobljaSumira!$A$143:$G$153,6,FALSE),999999)</f>
        <v>0</v>
      </c>
      <c r="Z145" s="87">
        <f t="shared" si="116"/>
        <v>0</v>
      </c>
      <c r="AA145" s="55" t="s">
        <v>216</v>
      </c>
      <c r="AB145" s="195">
        <f t="shared" si="95"/>
        <v>112</v>
      </c>
      <c r="AC145" s="195" t="str">
        <f t="shared" si="117"/>
        <v>A212402</v>
      </c>
      <c r="AD145" s="87">
        <f t="shared" si="118"/>
        <v>0</v>
      </c>
      <c r="AE145" s="87">
        <f>_xlfn.IFNA(VLOOKUP(G145,[5]Rashodi!$B$105:$F$115,5,FALSE), 0)</f>
        <v>0</v>
      </c>
      <c r="AF145" s="194">
        <f t="shared" si="104"/>
        <v>0</v>
      </c>
    </row>
    <row r="146" spans="1:32" ht="20.100000000000001" customHeight="1" outlineLevel="1" x14ac:dyDescent="0.2">
      <c r="A146" s="30" t="s">
        <v>472</v>
      </c>
      <c r="B146" s="26" t="s">
        <v>328</v>
      </c>
      <c r="C146" s="30">
        <v>112</v>
      </c>
      <c r="D146" s="30" t="str">
        <f t="shared" si="112"/>
        <v>3</v>
      </c>
      <c r="E146" s="30" t="str">
        <f t="shared" si="113"/>
        <v>32</v>
      </c>
      <c r="F146" s="26" t="str">
        <f t="shared" si="114"/>
        <v>323</v>
      </c>
      <c r="G146" s="86" t="s">
        <v>41</v>
      </c>
      <c r="H146" s="86" t="s">
        <v>43</v>
      </c>
      <c r="I146" s="87">
        <f>_xlfn.IFNA(VLOOKUP(G146,'Posebni dio-programska_2024'!A$138:D$148,4,FALSE),999999)</f>
        <v>36574.28</v>
      </c>
      <c r="J146" s="87">
        <v>58800</v>
      </c>
      <c r="K146" s="87">
        <v>74866.350000000006</v>
      </c>
      <c r="L146" s="87">
        <f t="shared" si="105"/>
        <v>204.69671583418733</v>
      </c>
      <c r="M146" s="87">
        <f t="shared" si="106"/>
        <v>127.32372448979592</v>
      </c>
      <c r="N146" s="31"/>
      <c r="S146" s="87">
        <v>74866.350000000006</v>
      </c>
      <c r="T146" s="87">
        <v>74866.350000000006</v>
      </c>
      <c r="U146" s="87">
        <f t="shared" si="115"/>
        <v>0</v>
      </c>
      <c r="Y146" s="87">
        <f>_xlfn.IFNA(VLOOKUP(G146,[4]IspisZahtjevaRviRazdobljaSumira!$A$143:$G$153,6,FALSE),999999)</f>
        <v>74866.350000000006</v>
      </c>
      <c r="Z146" s="87">
        <f t="shared" si="116"/>
        <v>0</v>
      </c>
      <c r="AA146" s="55" t="s">
        <v>217</v>
      </c>
      <c r="AB146" s="195">
        <f t="shared" si="95"/>
        <v>112</v>
      </c>
      <c r="AC146" s="195" t="str">
        <f t="shared" si="117"/>
        <v>A212402</v>
      </c>
      <c r="AD146" s="87">
        <f t="shared" si="118"/>
        <v>0</v>
      </c>
      <c r="AE146" s="87">
        <f>_xlfn.IFNA(VLOOKUP(G146,[5]Rashodi!$B$105:$F$115,5,FALSE), 0)</f>
        <v>74866.350000000006</v>
      </c>
      <c r="AF146" s="194">
        <f t="shared" si="104"/>
        <v>0</v>
      </c>
    </row>
    <row r="147" spans="1:32" ht="20.100000000000001" customHeight="1" outlineLevel="1" x14ac:dyDescent="0.2">
      <c r="A147" s="30" t="s">
        <v>472</v>
      </c>
      <c r="B147" s="26" t="s">
        <v>328</v>
      </c>
      <c r="C147" s="30">
        <v>112</v>
      </c>
      <c r="D147" s="30" t="str">
        <f t="shared" si="112"/>
        <v>3</v>
      </c>
      <c r="E147" s="30" t="str">
        <f t="shared" si="113"/>
        <v>32</v>
      </c>
      <c r="F147" s="26" t="str">
        <f t="shared" si="114"/>
        <v>323</v>
      </c>
      <c r="G147" s="86" t="s">
        <v>104</v>
      </c>
      <c r="H147" s="86" t="s">
        <v>106</v>
      </c>
      <c r="I147" s="87">
        <f>_xlfn.IFNA(VLOOKUP(G147,'Posebni dio-programska_2024'!A$138:D$148,4,FALSE),999999)</f>
        <v>0</v>
      </c>
      <c r="J147" s="87">
        <v>23000</v>
      </c>
      <c r="K147" s="87">
        <v>23000</v>
      </c>
      <c r="L147" s="87">
        <f t="shared" si="105"/>
        <v>0</v>
      </c>
      <c r="M147" s="87">
        <f t="shared" si="106"/>
        <v>100</v>
      </c>
      <c r="N147" s="31"/>
      <c r="S147" s="87">
        <v>23000</v>
      </c>
      <c r="T147" s="87">
        <v>23000</v>
      </c>
      <c r="U147" s="87">
        <f t="shared" si="115"/>
        <v>0</v>
      </c>
      <c r="Y147" s="87">
        <f>_xlfn.IFNA(VLOOKUP(G147,[4]IspisZahtjevaRviRazdobljaSumira!$A$143:$G$153,6,FALSE),999999)</f>
        <v>23000</v>
      </c>
      <c r="Z147" s="87">
        <f t="shared" si="116"/>
        <v>0</v>
      </c>
      <c r="AA147" s="55" t="s">
        <v>218</v>
      </c>
      <c r="AB147" s="195">
        <f t="shared" si="95"/>
        <v>112</v>
      </c>
      <c r="AC147" s="195" t="str">
        <f t="shared" si="117"/>
        <v>A212402</v>
      </c>
      <c r="AD147" s="87">
        <f t="shared" si="118"/>
        <v>0</v>
      </c>
      <c r="AE147" s="87">
        <f>_xlfn.IFNA(VLOOKUP(G147,[5]Rashodi!$B$105:$F$115,5,FALSE), 0)</f>
        <v>23000</v>
      </c>
      <c r="AF147" s="194">
        <f t="shared" si="104"/>
        <v>0</v>
      </c>
    </row>
    <row r="148" spans="1:32" ht="20.100000000000001" customHeight="1" outlineLevel="1" x14ac:dyDescent="0.2">
      <c r="A148" s="30" t="s">
        <v>472</v>
      </c>
      <c r="B148" s="26" t="s">
        <v>328</v>
      </c>
      <c r="C148" s="30">
        <v>112</v>
      </c>
      <c r="D148" s="30" t="str">
        <f t="shared" si="112"/>
        <v>3</v>
      </c>
      <c r="E148" s="30" t="str">
        <f t="shared" si="113"/>
        <v>32</v>
      </c>
      <c r="F148" s="26" t="str">
        <f t="shared" si="114"/>
        <v>323</v>
      </c>
      <c r="G148" s="86" t="s">
        <v>126</v>
      </c>
      <c r="H148" s="86" t="s">
        <v>128</v>
      </c>
      <c r="I148" s="87">
        <f>_xlfn.IFNA(VLOOKUP(G148,'Posebni dio-programska_2024'!A$138:D$148,4,FALSE),999999)</f>
        <v>5341.56</v>
      </c>
      <c r="J148" s="87">
        <v>21100</v>
      </c>
      <c r="K148" s="87">
        <v>12485</v>
      </c>
      <c r="L148" s="87">
        <f t="shared" si="105"/>
        <v>233.73321651352788</v>
      </c>
      <c r="M148" s="87">
        <f t="shared" si="106"/>
        <v>59.170616113744082</v>
      </c>
      <c r="N148" s="31"/>
      <c r="S148" s="87">
        <v>12485</v>
      </c>
      <c r="T148" s="87">
        <v>12485</v>
      </c>
      <c r="U148" s="87">
        <f t="shared" si="115"/>
        <v>0</v>
      </c>
      <c r="Y148" s="87">
        <f>_xlfn.IFNA(VLOOKUP(G148,[4]IspisZahtjevaRviRazdobljaSumira!$A$143:$G$153,6,FALSE),999999)</f>
        <v>12485</v>
      </c>
      <c r="Z148" s="87">
        <f t="shared" si="116"/>
        <v>0</v>
      </c>
      <c r="AA148" s="55" t="s">
        <v>219</v>
      </c>
      <c r="AB148" s="195">
        <f t="shared" si="95"/>
        <v>112</v>
      </c>
      <c r="AC148" s="195" t="str">
        <f t="shared" si="117"/>
        <v>A212402</v>
      </c>
      <c r="AD148" s="87">
        <f t="shared" si="118"/>
        <v>0</v>
      </c>
      <c r="AE148" s="87">
        <f>_xlfn.IFNA(VLOOKUP(G148,[5]Rashodi!$B$105:$F$115,5,FALSE), 0)</f>
        <v>12485</v>
      </c>
      <c r="AF148" s="194">
        <f t="shared" si="104"/>
        <v>0</v>
      </c>
    </row>
    <row r="149" spans="1:32" ht="20.100000000000001" customHeight="1" outlineLevel="1" x14ac:dyDescent="0.2">
      <c r="A149" s="30" t="s">
        <v>472</v>
      </c>
      <c r="B149" s="26" t="s">
        <v>328</v>
      </c>
      <c r="C149" s="30">
        <v>112</v>
      </c>
      <c r="D149" s="30" t="str">
        <f t="shared" si="112"/>
        <v>3</v>
      </c>
      <c r="E149" s="30" t="str">
        <f t="shared" si="113"/>
        <v>32</v>
      </c>
      <c r="F149" s="26" t="str">
        <f t="shared" si="114"/>
        <v>329</v>
      </c>
      <c r="G149" s="86" t="s">
        <v>154</v>
      </c>
      <c r="H149" s="86" t="s">
        <v>156</v>
      </c>
      <c r="I149" s="87">
        <f>_xlfn.IFNA(VLOOKUP(G149,'Posebni dio-programska_2024'!A$138:D$148,4,FALSE),999999)</f>
        <v>0</v>
      </c>
      <c r="J149" s="87">
        <v>0</v>
      </c>
      <c r="K149" s="87"/>
      <c r="L149" s="87">
        <f t="shared" si="105"/>
        <v>0</v>
      </c>
      <c r="M149" s="87">
        <f t="shared" si="106"/>
        <v>0</v>
      </c>
      <c r="N149" s="31"/>
      <c r="S149" s="87"/>
      <c r="T149" s="87">
        <v>0</v>
      </c>
      <c r="U149" s="87">
        <f t="shared" si="115"/>
        <v>0</v>
      </c>
      <c r="Y149" s="87">
        <f>_xlfn.IFNA(VLOOKUP(G149,[4]IspisZahtjevaRviRazdobljaSumira!$A$143:$G$153,6,FALSE),999999)</f>
        <v>0</v>
      </c>
      <c r="Z149" s="87">
        <f t="shared" si="116"/>
        <v>0</v>
      </c>
      <c r="AA149" s="55" t="s">
        <v>220</v>
      </c>
      <c r="AB149" s="195">
        <f t="shared" si="95"/>
        <v>112</v>
      </c>
      <c r="AC149" s="195" t="str">
        <f t="shared" si="117"/>
        <v>A212402</v>
      </c>
      <c r="AD149" s="87">
        <f t="shared" si="118"/>
        <v>0</v>
      </c>
      <c r="AE149" s="87">
        <f>_xlfn.IFNA(VLOOKUP(G149,[5]Rashodi!$B$105:$F$115,5,FALSE), 0)</f>
        <v>0</v>
      </c>
      <c r="AF149" s="194">
        <f t="shared" si="104"/>
        <v>0</v>
      </c>
    </row>
    <row r="150" spans="1:32" ht="24.95" customHeight="1" x14ac:dyDescent="0.2">
      <c r="A150" s="30"/>
      <c r="G150" s="230" t="s">
        <v>129</v>
      </c>
      <c r="H150" s="230"/>
      <c r="I150" s="79">
        <f>SUMIFS(I151:I318,$B151:$B318,"A212402",$C151:$C318,"431")</f>
        <v>108295.92</v>
      </c>
      <c r="J150" s="79">
        <f>SUMIFS(J151:J318,$B151:$B318,"A212402",$C151:$C318,"431")</f>
        <v>56300</v>
      </c>
      <c r="K150" s="79">
        <f>SUMIFS(K151:K318,$B151:$B318,"A212402",$C151:$C318,"431")</f>
        <v>94388.800000000003</v>
      </c>
      <c r="L150" s="79">
        <f t="shared" si="105"/>
        <v>87.15822350463435</v>
      </c>
      <c r="M150" s="79">
        <f t="shared" si="106"/>
        <v>167.65328596802843</v>
      </c>
      <c r="N150" s="25" t="s">
        <v>347</v>
      </c>
      <c r="O150" s="25" t="s">
        <v>349</v>
      </c>
      <c r="S150" s="79">
        <f>SUMIFS(S151:S318,$B151:$B318,"A212402",$C151:$C318,"431")</f>
        <v>95113.25</v>
      </c>
      <c r="T150" s="79">
        <f>SUMIFS(T151:T318,$B151:$B318,"A212402",$C151:$C318,"431")</f>
        <v>94388.800000000003</v>
      </c>
      <c r="U150" s="79">
        <f>SUMIFS(U151:U318,$B151:$B318,"A212402",$C151:$C318,"431")</f>
        <v>0</v>
      </c>
      <c r="Y150" s="79">
        <f>SUMIFS(Y151:Y318,$B151:$B318,"A212402",$C151:$C318,"431")</f>
        <v>94388.800000000003</v>
      </c>
      <c r="Z150" s="79">
        <f>SUMIFS(Z151:Z318,$B151:$B318,"A212402",$C151:$C318,"431")</f>
        <v>0</v>
      </c>
      <c r="AA150" s="55"/>
      <c r="AB150" s="195">
        <f t="shared" si="95"/>
        <v>0</v>
      </c>
      <c r="AC150" s="195"/>
      <c r="AD150" s="79">
        <f>SUMIFS(AD151:AD318,$B151:$B318,"A212402",$C151:$C318,"431")</f>
        <v>0</v>
      </c>
      <c r="AE150" s="79">
        <f>SUMIFS(AE151:AE318,$B151:$B318,"A212402",$C151:$C318,"431")</f>
        <v>94388.800000000003</v>
      </c>
      <c r="AF150" s="194">
        <f t="shared" si="104"/>
        <v>0</v>
      </c>
    </row>
    <row r="151" spans="1:32" ht="20.100000000000001" customHeight="1" outlineLevel="1" x14ac:dyDescent="0.2">
      <c r="A151" s="30" t="s">
        <v>472</v>
      </c>
      <c r="B151" s="26" t="s">
        <v>328</v>
      </c>
      <c r="C151" s="30">
        <v>431</v>
      </c>
      <c r="D151" s="30" t="str">
        <f t="shared" ref="D151:D162" si="119">LEFT(G151,1)</f>
        <v>3</v>
      </c>
      <c r="E151" s="30" t="str">
        <f t="shared" ref="E151:E162" si="120">LEFT(G151,2)</f>
        <v>32</v>
      </c>
      <c r="F151" s="26" t="str">
        <f t="shared" si="114"/>
        <v>321</v>
      </c>
      <c r="G151" s="86" t="s">
        <v>130</v>
      </c>
      <c r="H151" s="86" t="s">
        <v>132</v>
      </c>
      <c r="I151" s="87">
        <f>_xlfn.IFNA(VLOOKUP(G151,'Posebni dio-programska_2024'!A$150:D$162,4,FALSE),999999)</f>
        <v>9210.67</v>
      </c>
      <c r="J151" s="87">
        <v>20000</v>
      </c>
      <c r="K151" s="87">
        <v>16665.310000000001</v>
      </c>
      <c r="L151" s="87">
        <f t="shared" si="105"/>
        <v>180.93482884524147</v>
      </c>
      <c r="M151" s="87">
        <f t="shared" si="106"/>
        <v>83.326550000000012</v>
      </c>
      <c r="N151" s="31"/>
      <c r="S151" s="87">
        <v>16665.310000000001</v>
      </c>
      <c r="T151" s="87">
        <v>16665.310000000001</v>
      </c>
      <c r="U151" s="87">
        <f t="shared" si="115"/>
        <v>0</v>
      </c>
      <c r="Y151" s="87">
        <f>_xlfn.IFNA(VLOOKUP(G151,[4]IspisZahtjevaRviRazdobljaSumira!$A$155:$G$166,6,FALSE),999999)</f>
        <v>16665.310000000001</v>
      </c>
      <c r="Z151" s="87">
        <f t="shared" ref="Z151:Z162" si="121">Y151-K151</f>
        <v>0</v>
      </c>
      <c r="AA151" s="55" t="s">
        <v>221</v>
      </c>
      <c r="AB151" s="195">
        <f t="shared" si="95"/>
        <v>431</v>
      </c>
      <c r="AC151" s="195"/>
      <c r="AD151" s="87">
        <f t="shared" ref="AD151:AD162" si="122">U151</f>
        <v>0</v>
      </c>
      <c r="AE151" s="87">
        <f>_xlfn.IFNA(VLOOKUP(G151,[5]Rashodi!$B$117:$F$128,5,FALSE), 0)</f>
        <v>16665.310000000001</v>
      </c>
      <c r="AF151" s="194">
        <f t="shared" si="104"/>
        <v>0</v>
      </c>
    </row>
    <row r="152" spans="1:32" ht="20.100000000000001" customHeight="1" outlineLevel="1" x14ac:dyDescent="0.2">
      <c r="A152" s="30" t="s">
        <v>472</v>
      </c>
      <c r="B152" s="26" t="s">
        <v>328</v>
      </c>
      <c r="C152" s="30">
        <v>431</v>
      </c>
      <c r="D152" s="30" t="str">
        <f t="shared" si="119"/>
        <v>3</v>
      </c>
      <c r="E152" s="30" t="str">
        <f t="shared" si="120"/>
        <v>32</v>
      </c>
      <c r="F152" s="26" t="str">
        <f t="shared" si="114"/>
        <v>321</v>
      </c>
      <c r="G152" s="86" t="s">
        <v>69</v>
      </c>
      <c r="H152" s="86" t="s">
        <v>71</v>
      </c>
      <c r="I152" s="87">
        <f>_xlfn.IFNA(VLOOKUP(G152,'Posebni dio-programska_2024'!A$150:D$162,4,FALSE),999999)</f>
        <v>934.61</v>
      </c>
      <c r="J152" s="87">
        <v>2000</v>
      </c>
      <c r="K152" s="87">
        <f>1411.47-40</f>
        <v>1371.47</v>
      </c>
      <c r="L152" s="87">
        <f t="shared" si="105"/>
        <v>146.74249152052727</v>
      </c>
      <c r="M152" s="87">
        <f t="shared" si="106"/>
        <v>68.573499999999996</v>
      </c>
      <c r="N152" s="31"/>
      <c r="S152" s="87">
        <f>1411.47-40</f>
        <v>1371.47</v>
      </c>
      <c r="T152" s="87">
        <f>1411.47-40</f>
        <v>1371.47</v>
      </c>
      <c r="U152" s="87">
        <f t="shared" si="115"/>
        <v>0</v>
      </c>
      <c r="Y152" s="87">
        <f>_xlfn.IFNA(VLOOKUP(G152,[4]IspisZahtjevaRviRazdobljaSumira!$A$155:$G$166,6,FALSE),999999)</f>
        <v>1371.47</v>
      </c>
      <c r="Z152" s="87">
        <f t="shared" si="121"/>
        <v>0</v>
      </c>
      <c r="AA152" s="55" t="s">
        <v>222</v>
      </c>
      <c r="AB152" s="195">
        <f t="shared" si="95"/>
        <v>431</v>
      </c>
      <c r="AC152" s="195"/>
      <c r="AD152" s="87">
        <f t="shared" si="122"/>
        <v>0</v>
      </c>
      <c r="AE152" s="87">
        <f>_xlfn.IFNA(VLOOKUP(G152,[5]Rashodi!$B$117:$F$128,5,FALSE), 0)</f>
        <v>1371.47</v>
      </c>
      <c r="AF152" s="194">
        <f t="shared" si="104"/>
        <v>0</v>
      </c>
    </row>
    <row r="153" spans="1:32" ht="20.100000000000001" customHeight="1" outlineLevel="1" x14ac:dyDescent="0.2">
      <c r="A153" s="30" t="s">
        <v>472</v>
      </c>
      <c r="B153" s="26" t="s">
        <v>328</v>
      </c>
      <c r="C153" s="30">
        <v>431</v>
      </c>
      <c r="D153" s="30" t="str">
        <f t="shared" si="119"/>
        <v>3</v>
      </c>
      <c r="E153" s="30" t="str">
        <f t="shared" si="120"/>
        <v>32</v>
      </c>
      <c r="F153" s="26" t="str">
        <f t="shared" si="114"/>
        <v>322</v>
      </c>
      <c r="G153" s="86" t="s">
        <v>72</v>
      </c>
      <c r="H153" s="86" t="s">
        <v>74</v>
      </c>
      <c r="I153" s="87">
        <f>_xlfn.IFNA(VLOOKUP(G153,'Posebni dio-programska_2024'!A$150:D$162,4,FALSE),999999)</f>
        <v>49600.54</v>
      </c>
      <c r="J153" s="87">
        <v>1000</v>
      </c>
      <c r="K153" s="87">
        <v>37892.080000000002</v>
      </c>
      <c r="L153" s="87">
        <f t="shared" si="105"/>
        <v>76.39449086643009</v>
      </c>
      <c r="M153" s="87">
        <f t="shared" si="106"/>
        <v>3789.2080000000001</v>
      </c>
      <c r="N153" s="31"/>
      <c r="S153" s="87">
        <f>37892.08+724.45</f>
        <v>38616.53</v>
      </c>
      <c r="T153" s="87">
        <v>37892.080000000002</v>
      </c>
      <c r="U153" s="87">
        <f t="shared" si="115"/>
        <v>0</v>
      </c>
      <c r="Y153" s="87">
        <f>_xlfn.IFNA(VLOOKUP(G153,[4]IspisZahtjevaRviRazdobljaSumira!$A$155:$G$166,6,FALSE),999999)</f>
        <v>37892.080000000002</v>
      </c>
      <c r="Z153" s="87">
        <f t="shared" si="121"/>
        <v>0</v>
      </c>
      <c r="AA153" s="55" t="s">
        <v>223</v>
      </c>
      <c r="AB153" s="195">
        <f t="shared" si="95"/>
        <v>431</v>
      </c>
      <c r="AC153" s="195"/>
      <c r="AD153" s="87">
        <f t="shared" si="122"/>
        <v>0</v>
      </c>
      <c r="AE153" s="87">
        <f>_xlfn.IFNA(VLOOKUP(G153,[5]Rashodi!$B$117:$F$128,5,FALSE), 0)</f>
        <v>37892.080000000002</v>
      </c>
      <c r="AF153" s="194">
        <f t="shared" si="104"/>
        <v>0</v>
      </c>
    </row>
    <row r="154" spans="1:32" ht="20.100000000000001" customHeight="1" outlineLevel="1" x14ac:dyDescent="0.2">
      <c r="A154" s="30" t="s">
        <v>472</v>
      </c>
      <c r="B154" s="26" t="s">
        <v>328</v>
      </c>
      <c r="C154" s="30">
        <v>431</v>
      </c>
      <c r="D154" s="30" t="str">
        <f t="shared" si="119"/>
        <v>3</v>
      </c>
      <c r="E154" s="30" t="str">
        <f t="shared" si="120"/>
        <v>32</v>
      </c>
      <c r="F154" s="26" t="str">
        <f t="shared" si="114"/>
        <v>322</v>
      </c>
      <c r="G154" s="86" t="s">
        <v>75</v>
      </c>
      <c r="H154" s="86" t="s">
        <v>77</v>
      </c>
      <c r="I154" s="87">
        <f>_xlfn.IFNA(VLOOKUP(G154,'Posebni dio-programska_2024'!A$150:D$162,4,FALSE),999999)</f>
        <v>3578.31</v>
      </c>
      <c r="J154" s="87">
        <v>1000</v>
      </c>
      <c r="K154" s="87">
        <f>1151.2-343.21</f>
        <v>807.99</v>
      </c>
      <c r="L154" s="87">
        <f t="shared" si="105"/>
        <v>22.580212446657779</v>
      </c>
      <c r="M154" s="87">
        <f t="shared" si="106"/>
        <v>80.798999999999992</v>
      </c>
      <c r="N154" s="31"/>
      <c r="S154" s="87">
        <f>1151.2-343.21</f>
        <v>807.99</v>
      </c>
      <c r="T154" s="87">
        <f>1151.2-343.21</f>
        <v>807.99</v>
      </c>
      <c r="U154" s="87">
        <f t="shared" si="115"/>
        <v>0</v>
      </c>
      <c r="Y154" s="87">
        <f>_xlfn.IFNA(VLOOKUP(G154,[4]IspisZahtjevaRviRazdobljaSumira!$A$155:$G$166,6,FALSE),999999)</f>
        <v>807.99</v>
      </c>
      <c r="Z154" s="87">
        <f t="shared" si="121"/>
        <v>0</v>
      </c>
      <c r="AA154" s="55" t="s">
        <v>224</v>
      </c>
      <c r="AB154" s="195">
        <f t="shared" si="95"/>
        <v>431</v>
      </c>
      <c r="AC154" s="195"/>
      <c r="AD154" s="87">
        <f t="shared" si="122"/>
        <v>0</v>
      </c>
      <c r="AE154" s="87">
        <f>_xlfn.IFNA(VLOOKUP(G154,[5]Rashodi!$B$117:$F$128,5,FALSE), 0)</f>
        <v>807.99</v>
      </c>
      <c r="AF154" s="194">
        <f t="shared" si="104"/>
        <v>0</v>
      </c>
    </row>
    <row r="155" spans="1:32" ht="20.100000000000001" customHeight="1" outlineLevel="1" x14ac:dyDescent="0.2">
      <c r="A155" s="30" t="s">
        <v>472</v>
      </c>
      <c r="B155" s="26" t="s">
        <v>328</v>
      </c>
      <c r="C155" s="30">
        <v>431</v>
      </c>
      <c r="D155" s="30" t="str">
        <f t="shared" si="119"/>
        <v>3</v>
      </c>
      <c r="E155" s="30" t="str">
        <f t="shared" si="120"/>
        <v>32</v>
      </c>
      <c r="F155" s="26" t="str">
        <f t="shared" si="114"/>
        <v>322</v>
      </c>
      <c r="G155" s="86" t="s">
        <v>84</v>
      </c>
      <c r="H155" s="86" t="s">
        <v>86</v>
      </c>
      <c r="I155" s="87">
        <f>_xlfn.IFNA(VLOOKUP(G155,'Posebni dio-programska_2024'!A$150:D$162,4,FALSE),999999)</f>
        <v>454</v>
      </c>
      <c r="J155" s="87">
        <v>1000</v>
      </c>
      <c r="K155" s="87">
        <v>575.54999999999995</v>
      </c>
      <c r="L155" s="87">
        <f t="shared" si="105"/>
        <v>126.77312775330395</v>
      </c>
      <c r="M155" s="87">
        <f t="shared" si="106"/>
        <v>57.555</v>
      </c>
      <c r="N155" s="31"/>
      <c r="S155" s="87">
        <v>575.54999999999995</v>
      </c>
      <c r="T155" s="87">
        <v>575.54999999999995</v>
      </c>
      <c r="U155" s="87">
        <f t="shared" si="115"/>
        <v>0</v>
      </c>
      <c r="Y155" s="87">
        <f>_xlfn.IFNA(VLOOKUP(G155,[4]IspisZahtjevaRviRazdobljaSumira!$A$155:$G$166,6,FALSE),999999)</f>
        <v>575.54999999999995</v>
      </c>
      <c r="Z155" s="87">
        <f t="shared" si="121"/>
        <v>0</v>
      </c>
      <c r="AA155" s="55" t="s">
        <v>225</v>
      </c>
      <c r="AB155" s="195">
        <f t="shared" si="95"/>
        <v>431</v>
      </c>
      <c r="AC155" s="195"/>
      <c r="AD155" s="87">
        <f t="shared" si="122"/>
        <v>0</v>
      </c>
      <c r="AE155" s="87">
        <f>_xlfn.IFNA(VLOOKUP(G155,[5]Rashodi!$B$117:$F$128,5,FALSE), 0)</f>
        <v>575.54999999999995</v>
      </c>
      <c r="AF155" s="194">
        <f t="shared" si="104"/>
        <v>0</v>
      </c>
    </row>
    <row r="156" spans="1:32" ht="20.100000000000001" customHeight="1" outlineLevel="1" x14ac:dyDescent="0.2">
      <c r="A156" s="30" t="s">
        <v>472</v>
      </c>
      <c r="B156" s="26" t="s">
        <v>328</v>
      </c>
      <c r="C156" s="30">
        <v>431</v>
      </c>
      <c r="D156" s="30" t="str">
        <f t="shared" si="119"/>
        <v>3</v>
      </c>
      <c r="E156" s="30" t="str">
        <f t="shared" si="120"/>
        <v>32</v>
      </c>
      <c r="F156" s="26" t="str">
        <f t="shared" si="114"/>
        <v>323</v>
      </c>
      <c r="G156" s="86" t="s">
        <v>87</v>
      </c>
      <c r="H156" s="86" t="s">
        <v>89</v>
      </c>
      <c r="I156" s="87">
        <f>_xlfn.IFNA(VLOOKUP(G156,'Posebni dio-programska_2024'!A$150:D$162,4,FALSE),999999)</f>
        <v>1005.53</v>
      </c>
      <c r="J156" s="87">
        <v>500</v>
      </c>
      <c r="K156" s="87">
        <v>44.29</v>
      </c>
      <c r="L156" s="87">
        <f t="shared" si="105"/>
        <v>4.4046423279265658</v>
      </c>
      <c r="M156" s="87">
        <f t="shared" si="106"/>
        <v>8.8579999999999988</v>
      </c>
      <c r="N156" s="31"/>
      <c r="S156" s="87">
        <v>44.29</v>
      </c>
      <c r="T156" s="87">
        <v>44.29</v>
      </c>
      <c r="U156" s="87">
        <f t="shared" si="115"/>
        <v>0</v>
      </c>
      <c r="Y156" s="87">
        <f>_xlfn.IFNA(VLOOKUP(G156,[4]IspisZahtjevaRviRazdobljaSumira!$A$155:$G$166,6,FALSE),999999)</f>
        <v>44.29</v>
      </c>
      <c r="Z156" s="87">
        <f t="shared" si="121"/>
        <v>0</v>
      </c>
      <c r="AA156" s="55" t="s">
        <v>226</v>
      </c>
      <c r="AB156" s="195">
        <f t="shared" si="95"/>
        <v>431</v>
      </c>
      <c r="AC156" s="195"/>
      <c r="AD156" s="87">
        <f t="shared" si="122"/>
        <v>0</v>
      </c>
      <c r="AE156" s="87">
        <f>_xlfn.IFNA(VLOOKUP(G156,[5]Rashodi!$B$117:$F$128,5,FALSE), 0)</f>
        <v>44.29</v>
      </c>
      <c r="AF156" s="194">
        <f t="shared" si="104"/>
        <v>0</v>
      </c>
    </row>
    <row r="157" spans="1:32" ht="20.100000000000001" customHeight="1" outlineLevel="1" x14ac:dyDescent="0.2">
      <c r="A157" s="30" t="s">
        <v>472</v>
      </c>
      <c r="B157" s="26" t="s">
        <v>328</v>
      </c>
      <c r="C157" s="30">
        <v>431</v>
      </c>
      <c r="D157" s="30" t="str">
        <f t="shared" si="119"/>
        <v>3</v>
      </c>
      <c r="E157" s="30" t="str">
        <f t="shared" si="120"/>
        <v>32</v>
      </c>
      <c r="F157" s="26" t="str">
        <f t="shared" si="114"/>
        <v>323</v>
      </c>
      <c r="G157" s="86" t="s">
        <v>91</v>
      </c>
      <c r="H157" s="86" t="s">
        <v>93</v>
      </c>
      <c r="I157" s="87">
        <f>_xlfn.IFNA(VLOOKUP(G157,'Posebni dio-programska_2024'!A$150:D$162,4,FALSE),999999)</f>
        <v>495</v>
      </c>
      <c r="J157" s="87">
        <v>700</v>
      </c>
      <c r="K157" s="87"/>
      <c r="L157" s="87">
        <f t="shared" si="105"/>
        <v>0</v>
      </c>
      <c r="M157" s="87">
        <f t="shared" si="106"/>
        <v>0</v>
      </c>
      <c r="N157" s="31"/>
      <c r="S157" s="87"/>
      <c r="T157" s="87"/>
      <c r="U157" s="87">
        <f t="shared" si="115"/>
        <v>0</v>
      </c>
      <c r="Y157" s="87">
        <f>_xlfn.IFNA(VLOOKUP(G157,[4]IspisZahtjevaRviRazdobljaSumira!$A$155:$G$166,6,FALSE),999999)</f>
        <v>0</v>
      </c>
      <c r="Z157" s="87">
        <f t="shared" si="121"/>
        <v>0</v>
      </c>
      <c r="AA157" s="55" t="s">
        <v>227</v>
      </c>
      <c r="AB157" s="195">
        <f t="shared" si="95"/>
        <v>431</v>
      </c>
      <c r="AC157" s="195"/>
      <c r="AD157" s="87">
        <f t="shared" si="122"/>
        <v>0</v>
      </c>
      <c r="AE157" s="87">
        <f>_xlfn.IFNA(VLOOKUP(G157,[5]Rashodi!$B$117:$F$128,5,FALSE), 0)</f>
        <v>0</v>
      </c>
      <c r="AF157" s="194">
        <f t="shared" si="104"/>
        <v>0</v>
      </c>
    </row>
    <row r="158" spans="1:32" ht="20.100000000000001" customHeight="1" outlineLevel="1" x14ac:dyDescent="0.2">
      <c r="A158" s="30" t="s">
        <v>472</v>
      </c>
      <c r="B158" s="26" t="s">
        <v>328</v>
      </c>
      <c r="C158" s="30">
        <v>431</v>
      </c>
      <c r="D158" s="30" t="str">
        <f t="shared" si="119"/>
        <v>3</v>
      </c>
      <c r="E158" s="30" t="str">
        <f t="shared" si="120"/>
        <v>32</v>
      </c>
      <c r="F158" s="26" t="str">
        <f t="shared" si="114"/>
        <v>323</v>
      </c>
      <c r="G158" s="86" t="s">
        <v>97</v>
      </c>
      <c r="H158" s="86" t="s">
        <v>99</v>
      </c>
      <c r="I158" s="87">
        <f>_xlfn.IFNA(VLOOKUP(G158,'Posebni dio-programska_2024'!A$150:D$162,4,FALSE),999999)</f>
        <v>0</v>
      </c>
      <c r="J158" s="87">
        <v>0</v>
      </c>
      <c r="K158" s="87">
        <v>219.65</v>
      </c>
      <c r="L158" s="87">
        <f t="shared" si="105"/>
        <v>0</v>
      </c>
      <c r="M158" s="87">
        <f t="shared" si="106"/>
        <v>0</v>
      </c>
      <c r="N158" s="31"/>
      <c r="S158" s="87">
        <v>219.65</v>
      </c>
      <c r="T158" s="87">
        <v>219.65</v>
      </c>
      <c r="U158" s="87">
        <f t="shared" si="115"/>
        <v>0</v>
      </c>
      <c r="Y158" s="87">
        <f>_xlfn.IFNA(VLOOKUP(G158,[4]IspisZahtjevaRviRazdobljaSumira!$A$155:$G$166,6,FALSE),999999)</f>
        <v>219.65</v>
      </c>
      <c r="Z158" s="87">
        <f t="shared" si="121"/>
        <v>0</v>
      </c>
      <c r="AA158" s="55" t="s">
        <v>228</v>
      </c>
      <c r="AB158" s="195">
        <f t="shared" si="95"/>
        <v>431</v>
      </c>
      <c r="AC158" s="195"/>
      <c r="AD158" s="87">
        <f t="shared" si="122"/>
        <v>0</v>
      </c>
      <c r="AE158" s="87">
        <f>_xlfn.IFNA(VLOOKUP(G158,[5]Rashodi!$B$117:$F$128,5,FALSE), 0)</f>
        <v>219.65</v>
      </c>
      <c r="AF158" s="194">
        <f t="shared" si="104"/>
        <v>0</v>
      </c>
    </row>
    <row r="159" spans="1:32" ht="20.100000000000001" customHeight="1" outlineLevel="1" x14ac:dyDescent="0.2">
      <c r="A159" s="30" t="s">
        <v>472</v>
      </c>
      <c r="B159" s="26" t="s">
        <v>328</v>
      </c>
      <c r="C159" s="30">
        <v>431</v>
      </c>
      <c r="D159" s="30" t="str">
        <f t="shared" si="119"/>
        <v>3</v>
      </c>
      <c r="E159" s="30" t="str">
        <f t="shared" si="120"/>
        <v>32</v>
      </c>
      <c r="F159" s="26" t="str">
        <f t="shared" si="114"/>
        <v>323</v>
      </c>
      <c r="G159" s="86" t="s">
        <v>41</v>
      </c>
      <c r="H159" s="86" t="s">
        <v>43</v>
      </c>
      <c r="I159" s="87">
        <f>_xlfn.IFNA(VLOOKUP(G159,'Posebni dio-programska_2024'!A$150:D$162,4,FALSE),999999)</f>
        <v>31601.119999999999</v>
      </c>
      <c r="J159" s="87">
        <v>22100</v>
      </c>
      <c r="K159" s="87">
        <v>28730.21</v>
      </c>
      <c r="L159" s="87">
        <f t="shared" si="105"/>
        <v>90.915163766347519</v>
      </c>
      <c r="M159" s="87">
        <f t="shared" si="106"/>
        <v>130.00095022624433</v>
      </c>
      <c r="N159" s="31"/>
      <c r="S159" s="87">
        <v>28730.21</v>
      </c>
      <c r="T159" s="87">
        <v>28730.21</v>
      </c>
      <c r="U159" s="87">
        <f t="shared" si="115"/>
        <v>0</v>
      </c>
      <c r="Y159" s="87">
        <f>_xlfn.IFNA(VLOOKUP(G159,[4]IspisZahtjevaRviRazdobljaSumira!$A$155:$G$166,6,FALSE),999999)</f>
        <v>28730.21</v>
      </c>
      <c r="Z159" s="87">
        <f t="shared" si="121"/>
        <v>0</v>
      </c>
      <c r="AA159" s="55" t="s">
        <v>229</v>
      </c>
      <c r="AB159" s="195">
        <f t="shared" si="95"/>
        <v>431</v>
      </c>
      <c r="AC159" s="195"/>
      <c r="AD159" s="87">
        <f t="shared" si="122"/>
        <v>0</v>
      </c>
      <c r="AE159" s="87">
        <f>_xlfn.IFNA(VLOOKUP(G159,[5]Rashodi!$B$117:$F$128,5,FALSE), 0)</f>
        <v>28730.21</v>
      </c>
      <c r="AF159" s="194">
        <f t="shared" si="104"/>
        <v>0</v>
      </c>
    </row>
    <row r="160" spans="1:32" ht="20.100000000000001" customHeight="1" outlineLevel="1" x14ac:dyDescent="0.2">
      <c r="A160" s="30" t="s">
        <v>472</v>
      </c>
      <c r="B160" s="26" t="s">
        <v>328</v>
      </c>
      <c r="C160" s="30">
        <v>431</v>
      </c>
      <c r="D160" s="30" t="str">
        <f t="shared" si="119"/>
        <v>3</v>
      </c>
      <c r="E160" s="30" t="str">
        <f t="shared" si="120"/>
        <v>32</v>
      </c>
      <c r="F160" s="26" t="str">
        <f t="shared" si="114"/>
        <v>323</v>
      </c>
      <c r="G160" s="86" t="s">
        <v>104</v>
      </c>
      <c r="H160" s="86" t="s">
        <v>106</v>
      </c>
      <c r="I160" s="87">
        <f>_xlfn.IFNA(VLOOKUP(G160,'Posebni dio-programska_2024'!A$150:D$162,4,FALSE),999999)</f>
        <v>200</v>
      </c>
      <c r="J160" s="87">
        <v>1000</v>
      </c>
      <c r="K160" s="87">
        <v>2064.25</v>
      </c>
      <c r="L160" s="87">
        <f t="shared" si="105"/>
        <v>1032.125</v>
      </c>
      <c r="M160" s="87">
        <f t="shared" si="106"/>
        <v>206.42499999999998</v>
      </c>
      <c r="N160" s="31"/>
      <c r="S160" s="87">
        <v>2064.25</v>
      </c>
      <c r="T160" s="87">
        <v>2064.25</v>
      </c>
      <c r="U160" s="87">
        <f t="shared" si="115"/>
        <v>0</v>
      </c>
      <c r="Y160" s="87">
        <f>_xlfn.IFNA(VLOOKUP(G160,[4]IspisZahtjevaRviRazdobljaSumira!$A$155:$G$166,6,FALSE),999999)</f>
        <v>2064.25</v>
      </c>
      <c r="Z160" s="87">
        <f t="shared" si="121"/>
        <v>0</v>
      </c>
      <c r="AA160" s="55" t="s">
        <v>230</v>
      </c>
      <c r="AB160" s="195">
        <f t="shared" si="95"/>
        <v>431</v>
      </c>
      <c r="AC160" s="195"/>
      <c r="AD160" s="87">
        <f t="shared" si="122"/>
        <v>0</v>
      </c>
      <c r="AE160" s="87">
        <f>_xlfn.IFNA(VLOOKUP(G160,[5]Rashodi!$B$117:$F$128,5,FALSE), 0)</f>
        <v>2064.25</v>
      </c>
      <c r="AF160" s="194">
        <f t="shared" si="104"/>
        <v>0</v>
      </c>
    </row>
    <row r="161" spans="1:32" ht="20.100000000000001" customHeight="1" outlineLevel="1" x14ac:dyDescent="0.2">
      <c r="A161" s="30" t="s">
        <v>472</v>
      </c>
      <c r="B161" s="26" t="s">
        <v>328</v>
      </c>
      <c r="C161" s="30">
        <v>431</v>
      </c>
      <c r="D161" s="30" t="str">
        <f t="shared" si="119"/>
        <v>3</v>
      </c>
      <c r="E161" s="30" t="str">
        <f t="shared" si="120"/>
        <v>32</v>
      </c>
      <c r="F161" s="26" t="str">
        <f t="shared" si="114"/>
        <v>323</v>
      </c>
      <c r="G161" s="86" t="s">
        <v>126</v>
      </c>
      <c r="H161" s="86" t="s">
        <v>128</v>
      </c>
      <c r="I161" s="87">
        <f>_xlfn.IFNA(VLOOKUP(G161,'Posebni dio-programska_2024'!A$150:D$162,4,FALSE),999999)</f>
        <v>7882.14</v>
      </c>
      <c r="J161" s="87">
        <v>4000</v>
      </c>
      <c r="K161" s="87">
        <v>3418.16</v>
      </c>
      <c r="L161" s="87">
        <f t="shared" si="105"/>
        <v>43.365887944136993</v>
      </c>
      <c r="M161" s="87">
        <f t="shared" si="106"/>
        <v>85.453999999999994</v>
      </c>
      <c r="N161" s="31"/>
      <c r="S161" s="87">
        <v>3418.16</v>
      </c>
      <c r="T161" s="87">
        <v>3418.16</v>
      </c>
      <c r="U161" s="87">
        <f t="shared" si="115"/>
        <v>0</v>
      </c>
      <c r="Y161" s="87">
        <f>_xlfn.IFNA(VLOOKUP(G161,[4]IspisZahtjevaRviRazdobljaSumira!$A$155:$G$166,6,FALSE),999999)</f>
        <v>3418.16</v>
      </c>
      <c r="Z161" s="87">
        <f t="shared" si="121"/>
        <v>0</v>
      </c>
      <c r="AA161" s="55" t="s">
        <v>231</v>
      </c>
      <c r="AB161" s="195">
        <f t="shared" si="95"/>
        <v>431</v>
      </c>
      <c r="AC161" s="195"/>
      <c r="AD161" s="87">
        <f t="shared" si="122"/>
        <v>0</v>
      </c>
      <c r="AE161" s="87">
        <f>_xlfn.IFNA(VLOOKUP(G161,[5]Rashodi!$B$117:$F$128,5,FALSE), 0)</f>
        <v>3418.16</v>
      </c>
      <c r="AF161" s="194">
        <f t="shared" si="104"/>
        <v>0</v>
      </c>
    </row>
    <row r="162" spans="1:32" ht="20.100000000000001" customHeight="1" outlineLevel="1" x14ac:dyDescent="0.2">
      <c r="A162" s="30" t="s">
        <v>472</v>
      </c>
      <c r="B162" s="26" t="s">
        <v>328</v>
      </c>
      <c r="C162" s="30">
        <v>431</v>
      </c>
      <c r="D162" s="30" t="str">
        <f t="shared" si="119"/>
        <v>3</v>
      </c>
      <c r="E162" s="30" t="str">
        <f t="shared" si="120"/>
        <v>32</v>
      </c>
      <c r="F162" s="26" t="str">
        <f t="shared" si="114"/>
        <v>329</v>
      </c>
      <c r="G162" s="86" t="s">
        <v>154</v>
      </c>
      <c r="H162" s="86" t="s">
        <v>156</v>
      </c>
      <c r="I162" s="87">
        <f>_xlfn.IFNA(VLOOKUP(G162,'Posebni dio-programska_2024'!A$150:D$162,4,FALSE),999999)</f>
        <v>3334</v>
      </c>
      <c r="J162" s="87">
        <v>3000</v>
      </c>
      <c r="K162" s="87">
        <v>2599.84</v>
      </c>
      <c r="L162" s="87">
        <f t="shared" si="105"/>
        <v>77.97960407918417</v>
      </c>
      <c r="M162" s="87">
        <f t="shared" si="106"/>
        <v>86.661333333333332</v>
      </c>
      <c r="N162" s="31" t="s">
        <v>354</v>
      </c>
      <c r="O162" s="25" t="s">
        <v>353</v>
      </c>
      <c r="S162" s="87">
        <v>2599.84</v>
      </c>
      <c r="T162" s="87">
        <v>2599.84</v>
      </c>
      <c r="U162" s="87">
        <f t="shared" si="115"/>
        <v>0</v>
      </c>
      <c r="Y162" s="87">
        <f>_xlfn.IFNA(VLOOKUP(G162,[4]IspisZahtjevaRviRazdobljaSumira!$A$155:$G$166,6,FALSE),999999)</f>
        <v>2599.84</v>
      </c>
      <c r="Z162" s="87">
        <f t="shared" si="121"/>
        <v>0</v>
      </c>
      <c r="AA162" s="55" t="s">
        <v>232</v>
      </c>
      <c r="AB162" s="195">
        <f t="shared" si="95"/>
        <v>431</v>
      </c>
      <c r="AC162" s="195"/>
      <c r="AD162" s="87">
        <f t="shared" si="122"/>
        <v>0</v>
      </c>
      <c r="AE162" s="87">
        <f>_xlfn.IFNA(VLOOKUP(G162,[5]Rashodi!$B$117:$F$128,5,FALSE), 0)</f>
        <v>2599.84</v>
      </c>
      <c r="AF162" s="194">
        <f t="shared" si="104"/>
        <v>0</v>
      </c>
    </row>
    <row r="163" spans="1:32" ht="24.95" customHeight="1" x14ac:dyDescent="0.2">
      <c r="A163" s="30"/>
      <c r="G163" s="230" t="s">
        <v>26</v>
      </c>
      <c r="H163" s="230"/>
      <c r="I163" s="79">
        <f t="shared" ref="I163:O163" si="123">SUMIFS(I164:I331,$B164:$B331,"A212402",$C164:$C331,"521")</f>
        <v>66763.06</v>
      </c>
      <c r="J163" s="79">
        <f t="shared" si="123"/>
        <v>73100</v>
      </c>
      <c r="K163" s="79">
        <f t="shared" si="123"/>
        <v>70183.179999999993</v>
      </c>
      <c r="L163" s="79">
        <f t="shared" si="105"/>
        <v>105.12277298254453</v>
      </c>
      <c r="M163" s="79">
        <f t="shared" si="106"/>
        <v>96.009822161422704</v>
      </c>
      <c r="N163" s="25">
        <f t="shared" si="123"/>
        <v>65022.73</v>
      </c>
      <c r="O163" s="25">
        <f t="shared" si="123"/>
        <v>5160.45</v>
      </c>
      <c r="S163" s="79">
        <f t="shared" ref="S163" si="124">SUMIFS(S164:S331,$B164:$B331,"A212402",$C164:$C331,"521")</f>
        <v>70183.179999999993</v>
      </c>
      <c r="T163" s="79">
        <f t="shared" ref="T163:U163" si="125">SUMIFS(T164:T331,$B164:$B331,"A212402",$C164:$C331,"521")</f>
        <v>70183.179999999993</v>
      </c>
      <c r="U163" s="79">
        <f t="shared" si="125"/>
        <v>0</v>
      </c>
      <c r="Y163" s="79">
        <f t="shared" ref="Y163:Z163" si="126">SUMIFS(Y164:Y331,$B164:$B331,"A212402",$C164:$C331,"521")</f>
        <v>70183.179999999993</v>
      </c>
      <c r="Z163" s="79">
        <f t="shared" si="126"/>
        <v>0</v>
      </c>
      <c r="AA163" s="55"/>
      <c r="AB163" s="195">
        <f t="shared" si="95"/>
        <v>0</v>
      </c>
      <c r="AC163" s="195"/>
      <c r="AD163" s="79">
        <f t="shared" ref="AD163:AE163" si="127">SUMIFS(AD164:AD331,$B164:$B331,"A212402",$C164:$C331,"521")</f>
        <v>0</v>
      </c>
      <c r="AE163" s="79">
        <f t="shared" si="127"/>
        <v>70183.179999999993</v>
      </c>
      <c r="AF163" s="194">
        <f t="shared" si="104"/>
        <v>0</v>
      </c>
    </row>
    <row r="164" spans="1:32" ht="20.100000000000001" customHeight="1" outlineLevel="1" x14ac:dyDescent="0.2">
      <c r="A164" s="30" t="s">
        <v>472</v>
      </c>
      <c r="B164" s="26" t="s">
        <v>328</v>
      </c>
      <c r="C164" s="30">
        <v>521</v>
      </c>
      <c r="D164" s="30" t="str">
        <f t="shared" ref="D164:D180" si="128">LEFT(G164,1)</f>
        <v>3</v>
      </c>
      <c r="E164" s="30" t="str">
        <f t="shared" ref="E164:E180" si="129">LEFT(G164,2)</f>
        <v>32</v>
      </c>
      <c r="F164" s="26" t="str">
        <f t="shared" si="114"/>
        <v>321</v>
      </c>
      <c r="G164" s="86" t="s">
        <v>130</v>
      </c>
      <c r="H164" s="86" t="s">
        <v>132</v>
      </c>
      <c r="I164" s="87">
        <f>_xlfn.IFNA(VLOOKUP(G164,'Posebni dio-programska_2024'!A$164:D$180,4,FALSE),999999)</f>
        <v>2670</v>
      </c>
      <c r="J164" s="87">
        <v>6000</v>
      </c>
      <c r="K164" s="87">
        <f t="shared" ref="K164:K180" si="130">N164+O164</f>
        <v>3575.79</v>
      </c>
      <c r="L164" s="87">
        <f t="shared" si="105"/>
        <v>133.9247191011236</v>
      </c>
      <c r="M164" s="87">
        <f t="shared" si="106"/>
        <v>59.596499999999999</v>
      </c>
      <c r="N164" s="31">
        <v>3575.79</v>
      </c>
      <c r="S164" s="87">
        <f>K164</f>
        <v>3575.79</v>
      </c>
      <c r="T164" s="87">
        <v>3575.79</v>
      </c>
      <c r="U164" s="87">
        <f t="shared" si="115"/>
        <v>0</v>
      </c>
      <c r="Y164" s="87">
        <f>_xlfn.IFNA(VLOOKUP(G164,[4]IspisZahtjevaRviRazdobljaSumira!$A$168:$G$184,6,FALSE),999999)</f>
        <v>3575.79</v>
      </c>
      <c r="Z164" s="87">
        <f t="shared" ref="Z164:Z180" si="131">Y164-K164</f>
        <v>0</v>
      </c>
      <c r="AA164" s="55" t="s">
        <v>233</v>
      </c>
      <c r="AB164" s="195">
        <f t="shared" si="95"/>
        <v>521</v>
      </c>
      <c r="AC164" s="195"/>
      <c r="AD164" s="87">
        <f t="shared" ref="AD164:AD180" si="132">U164</f>
        <v>0</v>
      </c>
      <c r="AE164" s="87">
        <f>_xlfn.IFNA(VLOOKUP(G164,[5]Rashodi!$B$130:$F$146,5,FALSE), 0)</f>
        <v>3575.79</v>
      </c>
      <c r="AF164" s="194">
        <f t="shared" si="104"/>
        <v>0</v>
      </c>
    </row>
    <row r="165" spans="1:32" ht="20.100000000000001" customHeight="1" outlineLevel="1" x14ac:dyDescent="0.2">
      <c r="A165" s="30" t="s">
        <v>472</v>
      </c>
      <c r="B165" s="26" t="s">
        <v>328</v>
      </c>
      <c r="C165" s="30">
        <v>521</v>
      </c>
      <c r="D165" s="30" t="str">
        <f t="shared" si="128"/>
        <v>3</v>
      </c>
      <c r="E165" s="30" t="str">
        <f t="shared" si="129"/>
        <v>32</v>
      </c>
      <c r="F165" s="26" t="str">
        <f t="shared" si="114"/>
        <v>321</v>
      </c>
      <c r="G165" s="86" t="s">
        <v>69</v>
      </c>
      <c r="H165" s="86" t="s">
        <v>71</v>
      </c>
      <c r="I165" s="87">
        <f>_xlfn.IFNA(VLOOKUP(G165,'Posebni dio-programska_2024'!A$164:D$180,4,FALSE),999999)</f>
        <v>725.39</v>
      </c>
      <c r="J165" s="87">
        <v>4000</v>
      </c>
      <c r="K165" s="87">
        <f t="shared" si="130"/>
        <v>1395</v>
      </c>
      <c r="L165" s="87">
        <f t="shared" si="105"/>
        <v>192.31034340148059</v>
      </c>
      <c r="M165" s="87">
        <f t="shared" si="106"/>
        <v>34.875</v>
      </c>
      <c r="N165" s="31">
        <v>1395</v>
      </c>
      <c r="S165" s="87">
        <f t="shared" ref="S165:S180" si="133">K165</f>
        <v>1395</v>
      </c>
      <c r="T165" s="87">
        <v>1395</v>
      </c>
      <c r="U165" s="87">
        <f t="shared" si="115"/>
        <v>0</v>
      </c>
      <c r="Y165" s="87">
        <f>_xlfn.IFNA(VLOOKUP(G165,[4]IspisZahtjevaRviRazdobljaSumira!$A$168:$G$184,6,FALSE),999999)</f>
        <v>1395</v>
      </c>
      <c r="Z165" s="87">
        <f t="shared" si="131"/>
        <v>0</v>
      </c>
      <c r="AA165" s="55" t="s">
        <v>234</v>
      </c>
      <c r="AB165" s="195">
        <f t="shared" si="95"/>
        <v>521</v>
      </c>
      <c r="AC165" s="195"/>
      <c r="AD165" s="87">
        <f t="shared" si="132"/>
        <v>0</v>
      </c>
      <c r="AE165" s="87">
        <f>_xlfn.IFNA(VLOOKUP(G165,[5]Rashodi!$B$130:$F$146,5,FALSE), 0)</f>
        <v>1395</v>
      </c>
      <c r="AF165" s="194">
        <f t="shared" si="104"/>
        <v>0</v>
      </c>
    </row>
    <row r="166" spans="1:32" ht="20.100000000000001" customHeight="1" outlineLevel="1" x14ac:dyDescent="0.2">
      <c r="A166" s="30" t="s">
        <v>472</v>
      </c>
      <c r="B166" s="26" t="s">
        <v>328</v>
      </c>
      <c r="C166" s="30">
        <v>521</v>
      </c>
      <c r="D166" s="30" t="str">
        <f t="shared" si="128"/>
        <v>3</v>
      </c>
      <c r="E166" s="30" t="str">
        <f t="shared" si="129"/>
        <v>32</v>
      </c>
      <c r="F166" s="26" t="str">
        <f t="shared" si="114"/>
        <v>322</v>
      </c>
      <c r="G166" s="86" t="s">
        <v>72</v>
      </c>
      <c r="H166" s="86" t="s">
        <v>74</v>
      </c>
      <c r="I166" s="87">
        <f>_xlfn.IFNA(VLOOKUP(G166,'Posebni dio-programska_2024'!A$164:D$180,4,FALSE),999999)</f>
        <v>3116.87</v>
      </c>
      <c r="J166" s="87">
        <v>0</v>
      </c>
      <c r="K166" s="87">
        <f t="shared" si="130"/>
        <v>0</v>
      </c>
      <c r="L166" s="87">
        <f t="shared" si="105"/>
        <v>0</v>
      </c>
      <c r="M166" s="87">
        <f t="shared" si="106"/>
        <v>0</v>
      </c>
      <c r="N166" s="31"/>
      <c r="S166" s="87">
        <f t="shared" si="133"/>
        <v>0</v>
      </c>
      <c r="T166" s="87">
        <v>0</v>
      </c>
      <c r="U166" s="87">
        <f t="shared" si="115"/>
        <v>0</v>
      </c>
      <c r="Y166" s="87">
        <f>_xlfn.IFNA(VLOOKUP(G166,[4]IspisZahtjevaRviRazdobljaSumira!$A$168:$G$184,6,FALSE),999999)</f>
        <v>0</v>
      </c>
      <c r="Z166" s="87">
        <f t="shared" si="131"/>
        <v>0</v>
      </c>
      <c r="AA166" s="55" t="s">
        <v>235</v>
      </c>
      <c r="AB166" s="195">
        <f t="shared" si="95"/>
        <v>521</v>
      </c>
      <c r="AC166" s="195"/>
      <c r="AD166" s="87">
        <f t="shared" si="132"/>
        <v>0</v>
      </c>
      <c r="AE166" s="87">
        <f>_xlfn.IFNA(VLOOKUP(G166,[5]Rashodi!$B$130:$F$146,5,FALSE), 0)</f>
        <v>0</v>
      </c>
      <c r="AF166" s="194">
        <f t="shared" si="104"/>
        <v>0</v>
      </c>
    </row>
    <row r="167" spans="1:32" ht="20.100000000000001" customHeight="1" outlineLevel="1" x14ac:dyDescent="0.2">
      <c r="A167" s="30" t="s">
        <v>472</v>
      </c>
      <c r="B167" s="26" t="s">
        <v>328</v>
      </c>
      <c r="C167" s="30">
        <v>521</v>
      </c>
      <c r="D167" s="30" t="str">
        <f t="shared" si="128"/>
        <v>3</v>
      </c>
      <c r="E167" s="30" t="str">
        <f t="shared" si="129"/>
        <v>32</v>
      </c>
      <c r="F167" s="26" t="str">
        <f t="shared" si="114"/>
        <v>322</v>
      </c>
      <c r="G167" s="86" t="s">
        <v>75</v>
      </c>
      <c r="H167" s="86" t="s">
        <v>77</v>
      </c>
      <c r="I167" s="87">
        <f>_xlfn.IFNA(VLOOKUP(G167,'Posebni dio-programska_2024'!A$164:D$180,4,FALSE),999999)</f>
        <v>756.14</v>
      </c>
      <c r="J167" s="87">
        <v>2000</v>
      </c>
      <c r="K167" s="87">
        <f t="shared" si="130"/>
        <v>636.55999999999995</v>
      </c>
      <c r="L167" s="87">
        <f t="shared" si="105"/>
        <v>84.185468299521247</v>
      </c>
      <c r="M167" s="87">
        <f t="shared" si="106"/>
        <v>31.827999999999996</v>
      </c>
      <c r="N167" s="31">
        <v>636.55999999999995</v>
      </c>
      <c r="S167" s="87">
        <f t="shared" si="133"/>
        <v>636.55999999999995</v>
      </c>
      <c r="T167" s="87">
        <v>636.55999999999995</v>
      </c>
      <c r="U167" s="87">
        <f t="shared" si="115"/>
        <v>0</v>
      </c>
      <c r="Y167" s="87">
        <f>_xlfn.IFNA(VLOOKUP(G167,[4]IspisZahtjevaRviRazdobljaSumira!$A$168:$G$184,6,FALSE),999999)</f>
        <v>636.55999999999995</v>
      </c>
      <c r="Z167" s="87">
        <f t="shared" si="131"/>
        <v>0</v>
      </c>
      <c r="AA167" s="55" t="s">
        <v>236</v>
      </c>
      <c r="AB167" s="195">
        <f t="shared" si="95"/>
        <v>521</v>
      </c>
      <c r="AC167" s="195"/>
      <c r="AD167" s="87">
        <f t="shared" si="132"/>
        <v>0</v>
      </c>
      <c r="AE167" s="87">
        <f>_xlfn.IFNA(VLOOKUP(G167,[5]Rashodi!$B$130:$F$146,5,FALSE), 0)</f>
        <v>636.55999999999995</v>
      </c>
      <c r="AF167" s="194">
        <f t="shared" ref="AF167:AF198" si="134">ROUND(K167-T167-AD167,2)</f>
        <v>0</v>
      </c>
    </row>
    <row r="168" spans="1:32" ht="20.100000000000001" customHeight="1" outlineLevel="1" x14ac:dyDescent="0.2">
      <c r="A168" s="30" t="s">
        <v>472</v>
      </c>
      <c r="B168" s="26" t="s">
        <v>328</v>
      </c>
      <c r="C168" s="30">
        <v>521</v>
      </c>
      <c r="D168" s="30" t="str">
        <f t="shared" si="128"/>
        <v>3</v>
      </c>
      <c r="E168" s="30" t="str">
        <f t="shared" si="129"/>
        <v>32</v>
      </c>
      <c r="F168" s="26" t="str">
        <f t="shared" si="114"/>
        <v>322</v>
      </c>
      <c r="G168" s="86" t="s">
        <v>78</v>
      </c>
      <c r="H168" s="86" t="s">
        <v>80</v>
      </c>
      <c r="I168" s="87">
        <f>_xlfn.IFNA(VLOOKUP(G168,'Posebni dio-programska_2024'!A$164:D$180,4,FALSE),999999)</f>
        <v>0</v>
      </c>
      <c r="J168" s="87">
        <v>0</v>
      </c>
      <c r="K168" s="87">
        <f t="shared" si="130"/>
        <v>0</v>
      </c>
      <c r="L168" s="87">
        <f t="shared" si="105"/>
        <v>0</v>
      </c>
      <c r="M168" s="87">
        <f t="shared" si="106"/>
        <v>0</v>
      </c>
      <c r="N168" s="31"/>
      <c r="S168" s="87">
        <f t="shared" si="133"/>
        <v>0</v>
      </c>
      <c r="T168" s="87">
        <v>0</v>
      </c>
      <c r="U168" s="87">
        <f t="shared" si="115"/>
        <v>0</v>
      </c>
      <c r="Y168" s="87">
        <f>_xlfn.IFNA(VLOOKUP(G168,[4]IspisZahtjevaRviRazdobljaSumira!$A$168:$G$184,6,FALSE),999999)</f>
        <v>0</v>
      </c>
      <c r="Z168" s="87">
        <f t="shared" si="131"/>
        <v>0</v>
      </c>
      <c r="AA168" s="55" t="s">
        <v>237</v>
      </c>
      <c r="AB168" s="195">
        <f t="shared" ref="AB168:AB230" si="135">C168</f>
        <v>521</v>
      </c>
      <c r="AC168" s="195"/>
      <c r="AD168" s="87">
        <f t="shared" si="132"/>
        <v>0</v>
      </c>
      <c r="AE168" s="87">
        <f>_xlfn.IFNA(VLOOKUP(G168,[5]Rashodi!$B$130:$F$146,5,FALSE), 0)</f>
        <v>0</v>
      </c>
      <c r="AF168" s="194">
        <f t="shared" si="134"/>
        <v>0</v>
      </c>
    </row>
    <row r="169" spans="1:32" ht="20.100000000000001" customHeight="1" outlineLevel="1" x14ac:dyDescent="0.2">
      <c r="A169" s="30" t="s">
        <v>472</v>
      </c>
      <c r="B169" s="26" t="s">
        <v>328</v>
      </c>
      <c r="C169" s="30">
        <v>521</v>
      </c>
      <c r="D169" s="30" t="str">
        <f t="shared" si="128"/>
        <v>3</v>
      </c>
      <c r="E169" s="30" t="str">
        <f t="shared" si="129"/>
        <v>32</v>
      </c>
      <c r="F169" s="26" t="str">
        <f t="shared" si="114"/>
        <v>322</v>
      </c>
      <c r="G169" s="86" t="s">
        <v>81</v>
      </c>
      <c r="H169" s="86" t="s">
        <v>83</v>
      </c>
      <c r="I169" s="87">
        <f>_xlfn.IFNA(VLOOKUP(G169,'Posebni dio-programska_2024'!A$164:D$180,4,FALSE),999999)</f>
        <v>345.55</v>
      </c>
      <c r="J169" s="87">
        <v>0</v>
      </c>
      <c r="K169" s="87">
        <f t="shared" si="130"/>
        <v>0</v>
      </c>
      <c r="L169" s="87">
        <f t="shared" si="105"/>
        <v>0</v>
      </c>
      <c r="M169" s="87">
        <f t="shared" si="106"/>
        <v>0</v>
      </c>
      <c r="N169" s="31"/>
      <c r="S169" s="87">
        <f t="shared" si="133"/>
        <v>0</v>
      </c>
      <c r="T169" s="87">
        <v>0</v>
      </c>
      <c r="U169" s="87">
        <f t="shared" si="115"/>
        <v>0</v>
      </c>
      <c r="Y169" s="87">
        <f>_xlfn.IFNA(VLOOKUP(G169,[4]IspisZahtjevaRviRazdobljaSumira!$A$168:$G$184,6,FALSE),999999)</f>
        <v>0</v>
      </c>
      <c r="Z169" s="87">
        <f t="shared" si="131"/>
        <v>0</v>
      </c>
      <c r="AA169" s="55" t="s">
        <v>238</v>
      </c>
      <c r="AB169" s="195">
        <f t="shared" si="135"/>
        <v>521</v>
      </c>
      <c r="AC169" s="195"/>
      <c r="AD169" s="87">
        <f t="shared" si="132"/>
        <v>0</v>
      </c>
      <c r="AE169" s="87">
        <f>_xlfn.IFNA(VLOOKUP(G169,[5]Rashodi!$B$130:$F$146,5,FALSE), 0)</f>
        <v>0</v>
      </c>
      <c r="AF169" s="194">
        <f t="shared" si="134"/>
        <v>0</v>
      </c>
    </row>
    <row r="170" spans="1:32" ht="20.100000000000001" customHeight="1" outlineLevel="1" x14ac:dyDescent="0.2">
      <c r="A170" s="30" t="s">
        <v>472</v>
      </c>
      <c r="B170" s="26" t="s">
        <v>328</v>
      </c>
      <c r="C170" s="30">
        <v>521</v>
      </c>
      <c r="D170" s="30" t="str">
        <f t="shared" si="128"/>
        <v>3</v>
      </c>
      <c r="E170" s="30" t="str">
        <f t="shared" si="129"/>
        <v>32</v>
      </c>
      <c r="F170" s="26" t="str">
        <f t="shared" si="114"/>
        <v>322</v>
      </c>
      <c r="G170" s="86" t="s">
        <v>84</v>
      </c>
      <c r="H170" s="86" t="s">
        <v>86</v>
      </c>
      <c r="I170" s="87">
        <f>_xlfn.IFNA(VLOOKUP(G170,'Posebni dio-programska_2024'!A$164:D$180,4,FALSE),999999)</f>
        <v>0</v>
      </c>
      <c r="J170" s="87">
        <v>0</v>
      </c>
      <c r="K170" s="87">
        <f t="shared" si="130"/>
        <v>0</v>
      </c>
      <c r="L170" s="87">
        <f t="shared" si="105"/>
        <v>0</v>
      </c>
      <c r="M170" s="87">
        <f t="shared" si="106"/>
        <v>0</v>
      </c>
      <c r="N170" s="31"/>
      <c r="S170" s="87">
        <f t="shared" si="133"/>
        <v>0</v>
      </c>
      <c r="T170" s="87">
        <v>0</v>
      </c>
      <c r="U170" s="87">
        <f t="shared" si="115"/>
        <v>0</v>
      </c>
      <c r="Y170" s="87">
        <f>_xlfn.IFNA(VLOOKUP(G170,[4]IspisZahtjevaRviRazdobljaSumira!$A$168:$G$184,6,FALSE),999999)</f>
        <v>0</v>
      </c>
      <c r="Z170" s="87">
        <f t="shared" si="131"/>
        <v>0</v>
      </c>
      <c r="AA170" s="55" t="s">
        <v>239</v>
      </c>
      <c r="AB170" s="195">
        <f t="shared" si="135"/>
        <v>521</v>
      </c>
      <c r="AC170" s="195"/>
      <c r="AD170" s="87">
        <f t="shared" si="132"/>
        <v>0</v>
      </c>
      <c r="AE170" s="87">
        <f>_xlfn.IFNA(VLOOKUP(G170,[5]Rashodi!$B$130:$F$146,5,FALSE), 0)</f>
        <v>0</v>
      </c>
      <c r="AF170" s="194">
        <f t="shared" si="134"/>
        <v>0</v>
      </c>
    </row>
    <row r="171" spans="1:32" ht="20.100000000000001" customHeight="1" outlineLevel="1" x14ac:dyDescent="0.2">
      <c r="A171" s="30" t="s">
        <v>472</v>
      </c>
      <c r="B171" s="26" t="s">
        <v>328</v>
      </c>
      <c r="C171" s="30">
        <v>521</v>
      </c>
      <c r="D171" s="30" t="str">
        <f t="shared" si="128"/>
        <v>3</v>
      </c>
      <c r="E171" s="30" t="str">
        <f t="shared" si="129"/>
        <v>32</v>
      </c>
      <c r="F171" s="26" t="str">
        <f t="shared" si="114"/>
        <v>323</v>
      </c>
      <c r="G171" s="86" t="s">
        <v>87</v>
      </c>
      <c r="H171" s="86" t="s">
        <v>89</v>
      </c>
      <c r="I171" s="87">
        <f>_xlfn.IFNA(VLOOKUP(G171,'Posebni dio-programska_2024'!A$164:D$180,4,FALSE),999999)</f>
        <v>9.2799999999999994</v>
      </c>
      <c r="J171" s="87">
        <v>0</v>
      </c>
      <c r="K171" s="87">
        <f t="shared" si="130"/>
        <v>0</v>
      </c>
      <c r="L171" s="87">
        <f t="shared" si="105"/>
        <v>0</v>
      </c>
      <c r="M171" s="87">
        <f t="shared" si="106"/>
        <v>0</v>
      </c>
      <c r="N171" s="31"/>
      <c r="S171" s="87">
        <f t="shared" si="133"/>
        <v>0</v>
      </c>
      <c r="T171" s="87">
        <v>0</v>
      </c>
      <c r="U171" s="87">
        <f t="shared" si="115"/>
        <v>0</v>
      </c>
      <c r="Y171" s="87">
        <f>_xlfn.IFNA(VLOOKUP(G171,[4]IspisZahtjevaRviRazdobljaSumira!$A$168:$G$184,6,FALSE),999999)</f>
        <v>0</v>
      </c>
      <c r="Z171" s="87">
        <f t="shared" si="131"/>
        <v>0</v>
      </c>
      <c r="AA171" s="55" t="s">
        <v>240</v>
      </c>
      <c r="AB171" s="195">
        <f t="shared" si="135"/>
        <v>521</v>
      </c>
      <c r="AC171" s="195"/>
      <c r="AD171" s="87">
        <f t="shared" si="132"/>
        <v>0</v>
      </c>
      <c r="AE171" s="87">
        <f>_xlfn.IFNA(VLOOKUP(G171,[5]Rashodi!$B$130:$F$146,5,FALSE), 0)</f>
        <v>0</v>
      </c>
      <c r="AF171" s="194">
        <f t="shared" si="134"/>
        <v>0</v>
      </c>
    </row>
    <row r="172" spans="1:32" ht="20.100000000000001" customHeight="1" outlineLevel="1" x14ac:dyDescent="0.2">
      <c r="A172" s="30" t="s">
        <v>472</v>
      </c>
      <c r="B172" s="26" t="s">
        <v>328</v>
      </c>
      <c r="C172" s="30">
        <v>521</v>
      </c>
      <c r="D172" s="30" t="str">
        <f t="shared" si="128"/>
        <v>3</v>
      </c>
      <c r="E172" s="30" t="str">
        <f t="shared" si="129"/>
        <v>32</v>
      </c>
      <c r="F172" s="26" t="str">
        <f t="shared" si="114"/>
        <v>323</v>
      </c>
      <c r="G172" s="86" t="s">
        <v>91</v>
      </c>
      <c r="H172" s="86" t="s">
        <v>93</v>
      </c>
      <c r="I172" s="87">
        <f>_xlfn.IFNA(VLOOKUP(G172,'Posebni dio-programska_2024'!A$164:D$180,4,FALSE),999999)</f>
        <v>0</v>
      </c>
      <c r="J172" s="87">
        <v>1800</v>
      </c>
      <c r="K172" s="87">
        <f t="shared" si="130"/>
        <v>364.8</v>
      </c>
      <c r="L172" s="87">
        <f t="shared" si="105"/>
        <v>0</v>
      </c>
      <c r="M172" s="87">
        <f t="shared" si="106"/>
        <v>20.266666666666666</v>
      </c>
      <c r="N172" s="31">
        <v>364.8</v>
      </c>
      <c r="S172" s="87">
        <f t="shared" si="133"/>
        <v>364.8</v>
      </c>
      <c r="T172" s="87">
        <v>364.8</v>
      </c>
      <c r="U172" s="87">
        <f t="shared" si="115"/>
        <v>0</v>
      </c>
      <c r="Y172" s="87">
        <f>_xlfn.IFNA(VLOOKUP(G172,[4]IspisZahtjevaRviRazdobljaSumira!$A$168:$G$184,6,FALSE),999999)</f>
        <v>364.8</v>
      </c>
      <c r="Z172" s="87">
        <f t="shared" si="131"/>
        <v>0</v>
      </c>
      <c r="AA172" s="55" t="s">
        <v>241</v>
      </c>
      <c r="AB172" s="195">
        <f t="shared" si="135"/>
        <v>521</v>
      </c>
      <c r="AC172" s="195"/>
      <c r="AD172" s="87">
        <f t="shared" si="132"/>
        <v>0</v>
      </c>
      <c r="AE172" s="87">
        <f>_xlfn.IFNA(VLOOKUP(G172,[5]Rashodi!$B$130:$F$146,5,FALSE), 0)</f>
        <v>364.8</v>
      </c>
      <c r="AF172" s="194">
        <f t="shared" si="134"/>
        <v>0</v>
      </c>
    </row>
    <row r="173" spans="1:32" ht="20.100000000000001" customHeight="1" outlineLevel="1" x14ac:dyDescent="0.2">
      <c r="A173" s="30" t="s">
        <v>472</v>
      </c>
      <c r="B173" s="26" t="s">
        <v>328</v>
      </c>
      <c r="C173" s="30">
        <v>521</v>
      </c>
      <c r="D173" s="30" t="str">
        <f t="shared" si="128"/>
        <v>3</v>
      </c>
      <c r="E173" s="30" t="str">
        <f t="shared" si="129"/>
        <v>32</v>
      </c>
      <c r="F173" s="26" t="str">
        <f t="shared" si="114"/>
        <v>323</v>
      </c>
      <c r="G173" s="86" t="s">
        <v>97</v>
      </c>
      <c r="H173" s="86" t="s">
        <v>99</v>
      </c>
      <c r="I173" s="87">
        <f>_xlfn.IFNA(VLOOKUP(G173,'Posebni dio-programska_2024'!A$164:D$180,4,FALSE),999999)</f>
        <v>0</v>
      </c>
      <c r="J173" s="87">
        <v>0</v>
      </c>
      <c r="K173" s="87">
        <f t="shared" si="130"/>
        <v>0</v>
      </c>
      <c r="L173" s="87">
        <f t="shared" si="105"/>
        <v>0</v>
      </c>
      <c r="M173" s="87">
        <f t="shared" si="106"/>
        <v>0</v>
      </c>
      <c r="N173" s="31"/>
      <c r="S173" s="87">
        <f t="shared" si="133"/>
        <v>0</v>
      </c>
      <c r="T173" s="87">
        <v>0</v>
      </c>
      <c r="U173" s="87">
        <f t="shared" si="115"/>
        <v>0</v>
      </c>
      <c r="Y173" s="87">
        <f>_xlfn.IFNA(VLOOKUP(G173,[4]IspisZahtjevaRviRazdobljaSumira!$A$168:$G$184,6,FALSE),999999)</f>
        <v>0</v>
      </c>
      <c r="Z173" s="87">
        <f t="shared" si="131"/>
        <v>0</v>
      </c>
      <c r="AA173" s="55" t="s">
        <v>242</v>
      </c>
      <c r="AB173" s="195">
        <f t="shared" si="135"/>
        <v>521</v>
      </c>
      <c r="AC173" s="195"/>
      <c r="AD173" s="87">
        <f t="shared" si="132"/>
        <v>0</v>
      </c>
      <c r="AE173" s="87">
        <f>_xlfn.IFNA(VLOOKUP(G173,[5]Rashodi!$B$130:$F$146,5,FALSE), 0)</f>
        <v>0</v>
      </c>
      <c r="AF173" s="194">
        <f t="shared" si="134"/>
        <v>0</v>
      </c>
    </row>
    <row r="174" spans="1:32" ht="20.100000000000001" customHeight="1" outlineLevel="1" x14ac:dyDescent="0.2">
      <c r="A174" s="30" t="s">
        <v>472</v>
      </c>
      <c r="B174" s="26" t="s">
        <v>328</v>
      </c>
      <c r="C174" s="30">
        <v>521</v>
      </c>
      <c r="D174" s="30" t="str">
        <f t="shared" si="128"/>
        <v>3</v>
      </c>
      <c r="E174" s="30" t="str">
        <f t="shared" si="129"/>
        <v>32</v>
      </c>
      <c r="F174" s="26" t="str">
        <f t="shared" si="114"/>
        <v>323</v>
      </c>
      <c r="G174" s="86" t="s">
        <v>41</v>
      </c>
      <c r="H174" s="86" t="s">
        <v>43</v>
      </c>
      <c r="I174" s="87">
        <f>_xlfn.IFNA(VLOOKUP(G174,'Posebni dio-programska_2024'!A$164:D$180,4,FALSE),999999)</f>
        <v>39663.800000000003</v>
      </c>
      <c r="J174" s="87">
        <v>28500</v>
      </c>
      <c r="K174" s="87">
        <f t="shared" si="130"/>
        <v>27515.66</v>
      </c>
      <c r="L174" s="87">
        <f t="shared" si="105"/>
        <v>69.372223538843983</v>
      </c>
      <c r="M174" s="87">
        <f t="shared" si="106"/>
        <v>96.546175438596492</v>
      </c>
      <c r="N174" s="31">
        <v>26500.66</v>
      </c>
      <c r="O174" s="25">
        <v>1015</v>
      </c>
      <c r="S174" s="87">
        <f t="shared" si="133"/>
        <v>27515.66</v>
      </c>
      <c r="T174" s="87">
        <v>27515.66</v>
      </c>
      <c r="U174" s="87">
        <f t="shared" si="115"/>
        <v>0</v>
      </c>
      <c r="Y174" s="87">
        <f>_xlfn.IFNA(VLOOKUP(G174,[4]IspisZahtjevaRviRazdobljaSumira!$A$168:$G$184,6,FALSE),999999)</f>
        <v>27515.66</v>
      </c>
      <c r="Z174" s="87">
        <f t="shared" si="131"/>
        <v>0</v>
      </c>
      <c r="AA174" s="55" t="s">
        <v>243</v>
      </c>
      <c r="AB174" s="195">
        <f t="shared" si="135"/>
        <v>521</v>
      </c>
      <c r="AC174" s="195"/>
      <c r="AD174" s="87">
        <f t="shared" si="132"/>
        <v>0</v>
      </c>
      <c r="AE174" s="87">
        <f>_xlfn.IFNA(VLOOKUP(G174,[5]Rashodi!$B$130:$F$146,5,FALSE), 0)</f>
        <v>27515.66</v>
      </c>
      <c r="AF174" s="194">
        <f t="shared" si="134"/>
        <v>0</v>
      </c>
    </row>
    <row r="175" spans="1:32" ht="20.100000000000001" customHeight="1" outlineLevel="1" x14ac:dyDescent="0.2">
      <c r="A175" s="30" t="s">
        <v>472</v>
      </c>
      <c r="B175" s="26" t="s">
        <v>328</v>
      </c>
      <c r="C175" s="30">
        <v>521</v>
      </c>
      <c r="D175" s="30" t="str">
        <f t="shared" si="128"/>
        <v>3</v>
      </c>
      <c r="E175" s="30" t="str">
        <f t="shared" si="129"/>
        <v>32</v>
      </c>
      <c r="F175" s="26" t="str">
        <f t="shared" si="114"/>
        <v>323</v>
      </c>
      <c r="G175" s="86" t="s">
        <v>104</v>
      </c>
      <c r="H175" s="86" t="s">
        <v>106</v>
      </c>
      <c r="I175" s="87">
        <f>_xlfn.IFNA(VLOOKUP(G175,'Posebni dio-programska_2024'!A$164:D$180,4,FALSE),999999)</f>
        <v>1694</v>
      </c>
      <c r="J175" s="87">
        <v>13500</v>
      </c>
      <c r="K175" s="87">
        <f t="shared" si="130"/>
        <v>14082.5</v>
      </c>
      <c r="L175" s="87">
        <f t="shared" si="105"/>
        <v>831.31641086186539</v>
      </c>
      <c r="M175" s="87">
        <f t="shared" si="106"/>
        <v>104.31481481481481</v>
      </c>
      <c r="N175" s="31">
        <v>14082.5</v>
      </c>
      <c r="S175" s="87">
        <f t="shared" si="133"/>
        <v>14082.5</v>
      </c>
      <c r="T175" s="87">
        <v>14082.5</v>
      </c>
      <c r="U175" s="87">
        <f t="shared" si="115"/>
        <v>0</v>
      </c>
      <c r="Y175" s="87">
        <f>_xlfn.IFNA(VLOOKUP(G175,[4]IspisZahtjevaRviRazdobljaSumira!$A$168:$G$184,6,FALSE),999999)</f>
        <v>14082.5</v>
      </c>
      <c r="Z175" s="87">
        <f t="shared" si="131"/>
        <v>0</v>
      </c>
      <c r="AA175" s="55" t="s">
        <v>244</v>
      </c>
      <c r="AB175" s="195">
        <f t="shared" si="135"/>
        <v>521</v>
      </c>
      <c r="AC175" s="195"/>
      <c r="AD175" s="87">
        <f t="shared" si="132"/>
        <v>0</v>
      </c>
      <c r="AE175" s="87">
        <f>_xlfn.IFNA(VLOOKUP(G175,[5]Rashodi!$B$130:$F$146,5,FALSE), 0)</f>
        <v>14082.5</v>
      </c>
      <c r="AF175" s="194">
        <f t="shared" si="134"/>
        <v>0</v>
      </c>
    </row>
    <row r="176" spans="1:32" ht="20.100000000000001" customHeight="1" outlineLevel="1" x14ac:dyDescent="0.2">
      <c r="A176" s="30" t="s">
        <v>472</v>
      </c>
      <c r="B176" s="26" t="s">
        <v>328</v>
      </c>
      <c r="C176" s="30">
        <v>521</v>
      </c>
      <c r="D176" s="30" t="str">
        <f t="shared" si="128"/>
        <v>3</v>
      </c>
      <c r="E176" s="30" t="str">
        <f t="shared" si="129"/>
        <v>32</v>
      </c>
      <c r="F176" s="26" t="str">
        <f t="shared" si="114"/>
        <v>323</v>
      </c>
      <c r="G176" s="86" t="s">
        <v>126</v>
      </c>
      <c r="H176" s="86" t="s">
        <v>128</v>
      </c>
      <c r="I176" s="87">
        <f>_xlfn.IFNA(VLOOKUP(G176,'Posebni dio-programska_2024'!A$164:D$180,4,FALSE),999999)</f>
        <v>14708.65</v>
      </c>
      <c r="J176" s="87">
        <v>11000</v>
      </c>
      <c r="K176" s="87">
        <f t="shared" si="130"/>
        <v>18570.39</v>
      </c>
      <c r="L176" s="87">
        <f t="shared" si="105"/>
        <v>126.25489082954589</v>
      </c>
      <c r="M176" s="87">
        <f t="shared" si="106"/>
        <v>168.82172727272726</v>
      </c>
      <c r="N176" s="31">
        <v>14449.94</v>
      </c>
      <c r="O176" s="25">
        <v>4120.45</v>
      </c>
      <c r="S176" s="87">
        <f t="shared" si="133"/>
        <v>18570.39</v>
      </c>
      <c r="T176" s="87">
        <v>18570.39</v>
      </c>
      <c r="U176" s="87">
        <f t="shared" si="115"/>
        <v>0</v>
      </c>
      <c r="Y176" s="87">
        <f>_xlfn.IFNA(VLOOKUP(G176,[4]IspisZahtjevaRviRazdobljaSumira!$A$168:$G$184,6,FALSE),999999)</f>
        <v>18570.39</v>
      </c>
      <c r="Z176" s="87">
        <f t="shared" si="131"/>
        <v>0</v>
      </c>
      <c r="AA176" s="55" t="s">
        <v>245</v>
      </c>
      <c r="AB176" s="195">
        <f t="shared" si="135"/>
        <v>521</v>
      </c>
      <c r="AC176" s="195"/>
      <c r="AD176" s="87">
        <f t="shared" si="132"/>
        <v>0</v>
      </c>
      <c r="AE176" s="87">
        <f>_xlfn.IFNA(VLOOKUP(G176,[5]Rashodi!$B$130:$F$146,5,FALSE), 0)</f>
        <v>18570.39</v>
      </c>
      <c r="AF176" s="194">
        <f t="shared" si="134"/>
        <v>0</v>
      </c>
    </row>
    <row r="177" spans="1:32" ht="20.100000000000001" customHeight="1" outlineLevel="1" x14ac:dyDescent="0.2">
      <c r="A177" s="30" t="s">
        <v>472</v>
      </c>
      <c r="B177" s="26" t="s">
        <v>328</v>
      </c>
      <c r="C177" s="30">
        <v>521</v>
      </c>
      <c r="D177" s="30" t="str">
        <f t="shared" si="128"/>
        <v>3</v>
      </c>
      <c r="E177" s="30" t="str">
        <f t="shared" si="129"/>
        <v>32</v>
      </c>
      <c r="F177" s="26" t="str">
        <f t="shared" si="114"/>
        <v>324</v>
      </c>
      <c r="G177" s="86" t="s">
        <v>150</v>
      </c>
      <c r="H177" s="86" t="s">
        <v>152</v>
      </c>
      <c r="I177" s="87">
        <f>_xlfn.IFNA(VLOOKUP(G177,'Posebni dio-programska_2024'!A$164:D$180,4,FALSE),999999)</f>
        <v>0</v>
      </c>
      <c r="J177" s="87">
        <v>1000</v>
      </c>
      <c r="K177" s="87">
        <f t="shared" si="130"/>
        <v>407.3</v>
      </c>
      <c r="L177" s="87">
        <f t="shared" si="105"/>
        <v>0</v>
      </c>
      <c r="M177" s="87">
        <f t="shared" si="106"/>
        <v>40.729999999999997</v>
      </c>
      <c r="N177" s="31">
        <v>407.3</v>
      </c>
      <c r="S177" s="87">
        <f t="shared" si="133"/>
        <v>407.3</v>
      </c>
      <c r="T177" s="87">
        <v>407.3</v>
      </c>
      <c r="U177" s="87">
        <f t="shared" si="115"/>
        <v>0</v>
      </c>
      <c r="Y177" s="87">
        <f>_xlfn.IFNA(VLOOKUP(G177,[4]IspisZahtjevaRviRazdobljaSumira!$A$168:$G$184,6,FALSE),999999)</f>
        <v>407.3</v>
      </c>
      <c r="Z177" s="87">
        <f t="shared" si="131"/>
        <v>0</v>
      </c>
      <c r="AA177" s="55" t="s">
        <v>246</v>
      </c>
      <c r="AB177" s="195">
        <f t="shared" si="135"/>
        <v>521</v>
      </c>
      <c r="AC177" s="195"/>
      <c r="AD177" s="87">
        <f t="shared" si="132"/>
        <v>0</v>
      </c>
      <c r="AE177" s="87">
        <f>_xlfn.IFNA(VLOOKUP(G177,[5]Rashodi!$B$130:$F$146,5,FALSE), 0)</f>
        <v>407.3</v>
      </c>
      <c r="AF177" s="194">
        <f t="shared" si="134"/>
        <v>0</v>
      </c>
    </row>
    <row r="178" spans="1:32" ht="20.100000000000001" customHeight="1" outlineLevel="1" x14ac:dyDescent="0.2">
      <c r="A178" s="30" t="s">
        <v>472</v>
      </c>
      <c r="B178" s="26" t="s">
        <v>328</v>
      </c>
      <c r="C178" s="30">
        <v>521</v>
      </c>
      <c r="D178" s="30" t="str">
        <f t="shared" si="128"/>
        <v>3</v>
      </c>
      <c r="E178" s="30" t="str">
        <f t="shared" si="129"/>
        <v>32</v>
      </c>
      <c r="F178" s="26" t="str">
        <f t="shared" si="114"/>
        <v>329</v>
      </c>
      <c r="G178" s="86" t="s">
        <v>154</v>
      </c>
      <c r="H178" s="86" t="s">
        <v>156</v>
      </c>
      <c r="I178" s="87">
        <f>_xlfn.IFNA(VLOOKUP(G178,'Posebni dio-programska_2024'!A$164:D$180,4,FALSE),999999)</f>
        <v>1073.3800000000001</v>
      </c>
      <c r="J178" s="87">
        <v>3300</v>
      </c>
      <c r="K178" s="87">
        <f t="shared" si="130"/>
        <v>1635.18</v>
      </c>
      <c r="L178" s="87">
        <f t="shared" si="105"/>
        <v>152.33933928338519</v>
      </c>
      <c r="M178" s="87">
        <f t="shared" si="106"/>
        <v>49.550909090909094</v>
      </c>
      <c r="N178" s="31">
        <v>1610.18</v>
      </c>
      <c r="O178" s="25">
        <v>25</v>
      </c>
      <c r="S178" s="87">
        <f t="shared" si="133"/>
        <v>1635.18</v>
      </c>
      <c r="T178" s="87">
        <v>1635.18</v>
      </c>
      <c r="U178" s="87">
        <f t="shared" si="115"/>
        <v>0</v>
      </c>
      <c r="Y178" s="87">
        <f>_xlfn.IFNA(VLOOKUP(G178,[4]IspisZahtjevaRviRazdobljaSumira!$A$168:$G$184,6,FALSE),999999)</f>
        <v>1635.18</v>
      </c>
      <c r="Z178" s="87">
        <f t="shared" si="131"/>
        <v>0</v>
      </c>
      <c r="AA178" s="55" t="s">
        <v>247</v>
      </c>
      <c r="AB178" s="195">
        <f t="shared" si="135"/>
        <v>521</v>
      </c>
      <c r="AC178" s="195"/>
      <c r="AD178" s="87">
        <f t="shared" si="132"/>
        <v>0</v>
      </c>
      <c r="AE178" s="87">
        <f>_xlfn.IFNA(VLOOKUP(G178,[5]Rashodi!$B$130:$F$146,5,FALSE), 0)</f>
        <v>1635.18</v>
      </c>
      <c r="AF178" s="194">
        <f t="shared" si="134"/>
        <v>0</v>
      </c>
    </row>
    <row r="179" spans="1:32" ht="20.100000000000001" customHeight="1" outlineLevel="1" x14ac:dyDescent="0.2">
      <c r="A179" s="30" t="s">
        <v>472</v>
      </c>
      <c r="B179" s="26" t="s">
        <v>328</v>
      </c>
      <c r="C179" s="30">
        <v>521</v>
      </c>
      <c r="D179" s="30" t="str">
        <f t="shared" si="128"/>
        <v>3</v>
      </c>
      <c r="E179" s="30" t="str">
        <f t="shared" si="129"/>
        <v>32</v>
      </c>
      <c r="F179" s="26" t="str">
        <f t="shared" si="114"/>
        <v>329</v>
      </c>
      <c r="G179" s="86" t="s">
        <v>113</v>
      </c>
      <c r="H179" s="86" t="s">
        <v>115</v>
      </c>
      <c r="I179" s="87">
        <f>_xlfn.IFNA(VLOOKUP(G179,'Posebni dio-programska_2024'!A$164:D$180,4,FALSE),999999)</f>
        <v>2000</v>
      </c>
      <c r="J179" s="87">
        <v>2000</v>
      </c>
      <c r="K179" s="87">
        <f t="shared" si="130"/>
        <v>2000</v>
      </c>
      <c r="L179" s="87">
        <f t="shared" si="105"/>
        <v>100</v>
      </c>
      <c r="M179" s="87">
        <f t="shared" si="106"/>
        <v>100</v>
      </c>
      <c r="N179" s="31">
        <v>2000</v>
      </c>
      <c r="S179" s="87">
        <f t="shared" si="133"/>
        <v>2000</v>
      </c>
      <c r="T179" s="87">
        <v>2000</v>
      </c>
      <c r="U179" s="87">
        <f t="shared" si="115"/>
        <v>0</v>
      </c>
      <c r="Y179" s="87">
        <f>_xlfn.IFNA(VLOOKUP(G179,[4]IspisZahtjevaRviRazdobljaSumira!$A$168:$G$184,6,FALSE),999999)</f>
        <v>2000</v>
      </c>
      <c r="Z179" s="87">
        <f t="shared" si="131"/>
        <v>0</v>
      </c>
      <c r="AA179" s="55" t="s">
        <v>248</v>
      </c>
      <c r="AB179" s="195">
        <f t="shared" si="135"/>
        <v>521</v>
      </c>
      <c r="AC179" s="195"/>
      <c r="AD179" s="87">
        <f t="shared" si="132"/>
        <v>0</v>
      </c>
      <c r="AE179" s="87">
        <f>_xlfn.IFNA(VLOOKUP(G179,[5]Rashodi!$B$130:$F$146,5,FALSE), 0)</f>
        <v>2000</v>
      </c>
      <c r="AF179" s="194">
        <f t="shared" si="134"/>
        <v>0</v>
      </c>
    </row>
    <row r="180" spans="1:32" ht="20.100000000000001" customHeight="1" outlineLevel="1" x14ac:dyDescent="0.2">
      <c r="A180" s="30" t="s">
        <v>472</v>
      </c>
      <c r="B180" s="26" t="s">
        <v>328</v>
      </c>
      <c r="C180" s="30">
        <v>521</v>
      </c>
      <c r="D180" s="30" t="str">
        <f t="shared" si="128"/>
        <v>3</v>
      </c>
      <c r="E180" s="30" t="str">
        <f t="shared" si="129"/>
        <v>32</v>
      </c>
      <c r="F180" s="26" t="str">
        <f t="shared" si="114"/>
        <v>329</v>
      </c>
      <c r="G180" s="86" t="s">
        <v>159</v>
      </c>
      <c r="H180" s="86" t="s">
        <v>161</v>
      </c>
      <c r="I180" s="87">
        <f>_xlfn.IFNA(VLOOKUP(G180,'Posebni dio-programska_2024'!A$164:D$180,4,FALSE),999999)</f>
        <v>0</v>
      </c>
      <c r="J180" s="87">
        <v>0</v>
      </c>
      <c r="K180" s="87">
        <f t="shared" si="130"/>
        <v>0</v>
      </c>
      <c r="L180" s="87">
        <f t="shared" si="105"/>
        <v>0</v>
      </c>
      <c r="M180" s="87">
        <f t="shared" si="106"/>
        <v>0</v>
      </c>
      <c r="N180" s="31"/>
      <c r="S180" s="87">
        <f t="shared" si="133"/>
        <v>0</v>
      </c>
      <c r="T180" s="87">
        <v>0</v>
      </c>
      <c r="U180" s="87">
        <f t="shared" si="115"/>
        <v>0</v>
      </c>
      <c r="Y180" s="87">
        <f>_xlfn.IFNA(VLOOKUP(G180,[4]IspisZahtjevaRviRazdobljaSumira!$A$168:$G$184,6,FALSE),999999)</f>
        <v>0</v>
      </c>
      <c r="Z180" s="87">
        <f t="shared" si="131"/>
        <v>0</v>
      </c>
      <c r="AA180" s="55" t="s">
        <v>249</v>
      </c>
      <c r="AB180" s="195">
        <f t="shared" si="135"/>
        <v>521</v>
      </c>
      <c r="AC180" s="195"/>
      <c r="AD180" s="87">
        <f t="shared" si="132"/>
        <v>0</v>
      </c>
      <c r="AE180" s="87">
        <f>_xlfn.IFNA(VLOOKUP(G180,[5]Rashodi!$B$130:$F$146,5,FALSE), 0)</f>
        <v>0</v>
      </c>
      <c r="AF180" s="194">
        <f t="shared" si="134"/>
        <v>0</v>
      </c>
    </row>
    <row r="181" spans="1:32" ht="24.95" customHeight="1" x14ac:dyDescent="0.2">
      <c r="A181" s="30"/>
      <c r="G181" s="230" t="s">
        <v>34</v>
      </c>
      <c r="H181" s="230"/>
      <c r="I181" s="79">
        <f t="shared" ref="I181:O181" si="136">SUMIFS(I182:I349,$B182:$B349,"A212402",$C182:$C349,"541")</f>
        <v>1160.5700000000002</v>
      </c>
      <c r="J181" s="79">
        <f t="shared" si="136"/>
        <v>2900</v>
      </c>
      <c r="K181" s="79">
        <f t="shared" si="136"/>
        <v>2163.17</v>
      </c>
      <c r="L181" s="79">
        <f t="shared" si="105"/>
        <v>186.3885849194792</v>
      </c>
      <c r="M181" s="79">
        <f t="shared" si="106"/>
        <v>74.592068965517242</v>
      </c>
      <c r="N181" s="25">
        <f t="shared" si="136"/>
        <v>1139.42</v>
      </c>
      <c r="O181" s="25">
        <f t="shared" si="136"/>
        <v>1023.75</v>
      </c>
      <c r="S181" s="79">
        <f t="shared" ref="S181" si="137">SUMIFS(S182:S349,$B182:$B349,"A212402",$C182:$C349,"541")</f>
        <v>2163.17</v>
      </c>
      <c r="T181" s="79">
        <f t="shared" ref="T181:U181" si="138">SUMIFS(T182:T349,$B182:$B349,"A212402",$C182:$C349,"541")</f>
        <v>2163.17</v>
      </c>
      <c r="U181" s="79">
        <f t="shared" si="138"/>
        <v>0</v>
      </c>
      <c r="Y181" s="79">
        <f t="shared" ref="Y181:Z181" si="139">SUMIFS(Y182:Y349,$B182:$B349,"A212402",$C182:$C349,"541")</f>
        <v>2163.17</v>
      </c>
      <c r="Z181" s="79">
        <f t="shared" si="139"/>
        <v>0</v>
      </c>
      <c r="AA181" s="55"/>
      <c r="AB181" s="195">
        <f t="shared" si="135"/>
        <v>0</v>
      </c>
      <c r="AC181" s="195"/>
      <c r="AD181" s="79">
        <f t="shared" ref="AD181:AE181" si="140">SUMIFS(AD182:AD349,$B182:$B349,"A212402",$C182:$C349,"541")</f>
        <v>0</v>
      </c>
      <c r="AE181" s="79">
        <f t="shared" si="140"/>
        <v>2163.17</v>
      </c>
      <c r="AF181" s="194">
        <f t="shared" si="134"/>
        <v>0</v>
      </c>
    </row>
    <row r="182" spans="1:32" ht="20.100000000000001" customHeight="1" outlineLevel="1" x14ac:dyDescent="0.2">
      <c r="A182" s="30" t="s">
        <v>472</v>
      </c>
      <c r="B182" s="26" t="s">
        <v>328</v>
      </c>
      <c r="C182" s="30">
        <v>541</v>
      </c>
      <c r="D182" s="30" t="str">
        <f t="shared" ref="D182:D188" si="141">LEFT(G182,1)</f>
        <v>3</v>
      </c>
      <c r="E182" s="30" t="str">
        <f t="shared" ref="E182:E188" si="142">LEFT(G182,2)</f>
        <v>32</v>
      </c>
      <c r="F182" s="26" t="str">
        <f t="shared" si="114"/>
        <v>322</v>
      </c>
      <c r="G182" s="86" t="s">
        <v>72</v>
      </c>
      <c r="H182" s="86" t="s">
        <v>74</v>
      </c>
      <c r="I182" s="87">
        <f>_xlfn.IFNA(VLOOKUP(G182,'Posebni dio-programska_2024'!A$182:D$187,4,FALSE),999999)</f>
        <v>0</v>
      </c>
      <c r="J182" s="87">
        <v>100</v>
      </c>
      <c r="K182" s="87">
        <f t="shared" ref="K182:K188" si="143">N182+O182</f>
        <v>10.5</v>
      </c>
      <c r="L182" s="87">
        <f t="shared" si="105"/>
        <v>0</v>
      </c>
      <c r="M182" s="87">
        <f t="shared" si="106"/>
        <v>10.5</v>
      </c>
      <c r="N182" s="31">
        <v>10.5</v>
      </c>
      <c r="S182" s="87">
        <f>K182</f>
        <v>10.5</v>
      </c>
      <c r="T182" s="87">
        <v>10.5</v>
      </c>
      <c r="U182" s="87">
        <f t="shared" si="115"/>
        <v>0</v>
      </c>
      <c r="Y182" s="87">
        <f>_xlfn.IFNA(VLOOKUP(G182,[4]IspisZahtjevaRviRazdobljaSumira!$A$186:$G$192,6,FALSE),999999)</f>
        <v>10.5</v>
      </c>
      <c r="Z182" s="87">
        <f t="shared" ref="Z182:Z188" si="144">Y182-K182</f>
        <v>0</v>
      </c>
      <c r="AA182" s="55" t="s">
        <v>250</v>
      </c>
      <c r="AB182" s="195">
        <f t="shared" si="135"/>
        <v>541</v>
      </c>
      <c r="AC182" s="195"/>
      <c r="AD182" s="87">
        <f t="shared" ref="AD182:AD188" si="145">U182</f>
        <v>0</v>
      </c>
      <c r="AE182" s="87">
        <f>_xlfn.IFNA(VLOOKUP(G182,[5]Rashodi!$B$148:$F$154,5,FALSE), 0)</f>
        <v>10.5</v>
      </c>
      <c r="AF182" s="194">
        <f t="shared" si="134"/>
        <v>0</v>
      </c>
    </row>
    <row r="183" spans="1:32" ht="20.100000000000001" customHeight="1" outlineLevel="1" x14ac:dyDescent="0.2">
      <c r="A183" s="30" t="s">
        <v>472</v>
      </c>
      <c r="B183" s="26" t="s">
        <v>328</v>
      </c>
      <c r="C183" s="30">
        <v>541</v>
      </c>
      <c r="D183" s="30" t="str">
        <f t="shared" si="141"/>
        <v>3</v>
      </c>
      <c r="E183" s="30" t="str">
        <f t="shared" si="142"/>
        <v>32</v>
      </c>
      <c r="F183" s="26" t="str">
        <f t="shared" si="114"/>
        <v>322</v>
      </c>
      <c r="G183" s="86" t="s">
        <v>75</v>
      </c>
      <c r="H183" s="86" t="s">
        <v>77</v>
      </c>
      <c r="I183" s="87">
        <f>_xlfn.IFNA(VLOOKUP(G183,'Posebni dio-programska_2024'!A$182:D$187,4,FALSE),999999)</f>
        <v>0</v>
      </c>
      <c r="J183" s="87">
        <v>400</v>
      </c>
      <c r="K183" s="87">
        <f t="shared" si="143"/>
        <v>7.98</v>
      </c>
      <c r="L183" s="87">
        <f t="shared" si="105"/>
        <v>0</v>
      </c>
      <c r="M183" s="87">
        <f t="shared" si="106"/>
        <v>1.9950000000000003</v>
      </c>
      <c r="N183" s="31">
        <v>7.98</v>
      </c>
      <c r="S183" s="87">
        <f t="shared" ref="S183:S188" si="146">K183</f>
        <v>7.98</v>
      </c>
      <c r="T183" s="87">
        <v>7.98</v>
      </c>
      <c r="U183" s="87">
        <f t="shared" si="115"/>
        <v>0</v>
      </c>
      <c r="Y183" s="87">
        <f>_xlfn.IFNA(VLOOKUP(G183,[4]IspisZahtjevaRviRazdobljaSumira!$A$186:$G$192,6,FALSE),999999)</f>
        <v>7.98</v>
      </c>
      <c r="Z183" s="87">
        <f t="shared" si="144"/>
        <v>0</v>
      </c>
      <c r="AA183" s="55" t="s">
        <v>251</v>
      </c>
      <c r="AB183" s="195">
        <f t="shared" si="135"/>
        <v>541</v>
      </c>
      <c r="AC183" s="195"/>
      <c r="AD183" s="87">
        <f t="shared" si="145"/>
        <v>0</v>
      </c>
      <c r="AE183" s="87">
        <f>_xlfn.IFNA(VLOOKUP(G183,[5]Rashodi!$B$148:$F$154,5,FALSE), 0)</f>
        <v>7.98</v>
      </c>
      <c r="AF183" s="194">
        <f t="shared" si="134"/>
        <v>0</v>
      </c>
    </row>
    <row r="184" spans="1:32" ht="20.100000000000001" customHeight="1" outlineLevel="1" x14ac:dyDescent="0.2">
      <c r="A184" s="30" t="s">
        <v>472</v>
      </c>
      <c r="B184" s="26" t="s">
        <v>328</v>
      </c>
      <c r="C184" s="30">
        <v>541</v>
      </c>
      <c r="D184" s="30" t="str">
        <f t="shared" si="141"/>
        <v>3</v>
      </c>
      <c r="E184" s="30" t="str">
        <f t="shared" si="142"/>
        <v>32</v>
      </c>
      <c r="F184" s="26" t="str">
        <f t="shared" si="114"/>
        <v>322</v>
      </c>
      <c r="G184" s="86" t="s">
        <v>81</v>
      </c>
      <c r="H184" s="86" t="s">
        <v>83</v>
      </c>
      <c r="I184" s="87">
        <f>_xlfn.IFNA(VLOOKUP(G184,'Posebni dio-programska_2024'!A$182:D$187,4,FALSE),999999)</f>
        <v>0</v>
      </c>
      <c r="J184" s="87">
        <v>100</v>
      </c>
      <c r="K184" s="87">
        <f t="shared" si="143"/>
        <v>0</v>
      </c>
      <c r="L184" s="87">
        <f t="shared" si="105"/>
        <v>0</v>
      </c>
      <c r="M184" s="87">
        <f t="shared" si="106"/>
        <v>0</v>
      </c>
      <c r="N184" s="31"/>
      <c r="S184" s="87">
        <f t="shared" si="146"/>
        <v>0</v>
      </c>
      <c r="T184" s="87">
        <v>0</v>
      </c>
      <c r="U184" s="87">
        <f t="shared" si="115"/>
        <v>0</v>
      </c>
      <c r="Y184" s="87">
        <f>_xlfn.IFNA(VLOOKUP(G184,[4]IspisZahtjevaRviRazdobljaSumira!$A$186:$G$192,6,FALSE),999999)</f>
        <v>0</v>
      </c>
      <c r="Z184" s="87">
        <f t="shared" si="144"/>
        <v>0</v>
      </c>
      <c r="AA184" s="55" t="s">
        <v>252</v>
      </c>
      <c r="AB184" s="195">
        <f t="shared" si="135"/>
        <v>541</v>
      </c>
      <c r="AC184" s="195"/>
      <c r="AD184" s="87">
        <f t="shared" si="145"/>
        <v>0</v>
      </c>
      <c r="AE184" s="87">
        <f>_xlfn.IFNA(VLOOKUP(G184,[5]Rashodi!$B$148:$F$154,5,FALSE), 0)</f>
        <v>0</v>
      </c>
      <c r="AF184" s="194">
        <f t="shared" si="134"/>
        <v>0</v>
      </c>
    </row>
    <row r="185" spans="1:32" ht="20.100000000000001" customHeight="1" outlineLevel="1" x14ac:dyDescent="0.2">
      <c r="A185" s="30" t="s">
        <v>472</v>
      </c>
      <c r="B185" s="26" t="s">
        <v>328</v>
      </c>
      <c r="C185" s="30">
        <v>541</v>
      </c>
      <c r="D185" s="30" t="str">
        <f>LEFT(G185,1)</f>
        <v>3</v>
      </c>
      <c r="E185" s="30" t="str">
        <f>LEFT(G185,2)</f>
        <v>32</v>
      </c>
      <c r="F185" s="26" t="str">
        <f>LEFT(G185,3)</f>
        <v>322</v>
      </c>
      <c r="G185" s="95">
        <v>3225</v>
      </c>
      <c r="H185" s="86" t="s">
        <v>355</v>
      </c>
      <c r="I185" s="87"/>
      <c r="J185" s="87"/>
      <c r="K185" s="87">
        <f t="shared" si="143"/>
        <v>46.55</v>
      </c>
      <c r="L185" s="87">
        <f t="shared" si="105"/>
        <v>0</v>
      </c>
      <c r="M185" s="87">
        <f t="shared" si="106"/>
        <v>0</v>
      </c>
      <c r="N185" s="31">
        <v>46.55</v>
      </c>
      <c r="S185" s="87">
        <f t="shared" si="146"/>
        <v>46.55</v>
      </c>
      <c r="T185" s="87">
        <v>46.55</v>
      </c>
      <c r="U185" s="87">
        <f t="shared" si="115"/>
        <v>0</v>
      </c>
      <c r="Y185" s="87">
        <f>_xlfn.IFNA(VLOOKUP(G185,[4]IspisZahtjevaRviRazdobljaSumira!$A$186:$G$192,6,FALSE),999999)</f>
        <v>46.55</v>
      </c>
      <c r="Z185" s="87">
        <f t="shared" si="144"/>
        <v>0</v>
      </c>
      <c r="AA185" s="55" t="s">
        <v>566</v>
      </c>
      <c r="AB185" s="195">
        <f t="shared" si="135"/>
        <v>541</v>
      </c>
      <c r="AC185" s="195"/>
      <c r="AD185" s="87">
        <f t="shared" si="145"/>
        <v>0</v>
      </c>
      <c r="AE185" s="87">
        <f>_xlfn.IFNA(VLOOKUP(G185,[5]Rashodi!$B$148:$F$154,5,FALSE), 0)</f>
        <v>46.55</v>
      </c>
      <c r="AF185" s="194">
        <f t="shared" si="134"/>
        <v>0</v>
      </c>
    </row>
    <row r="186" spans="1:32" ht="20.100000000000001" customHeight="1" outlineLevel="1" x14ac:dyDescent="0.2">
      <c r="A186" s="30" t="s">
        <v>472</v>
      </c>
      <c r="B186" s="26" t="s">
        <v>328</v>
      </c>
      <c r="C186" s="30">
        <v>541</v>
      </c>
      <c r="D186" s="30" t="str">
        <f t="shared" si="141"/>
        <v>3</v>
      </c>
      <c r="E186" s="30" t="str">
        <f t="shared" si="142"/>
        <v>32</v>
      </c>
      <c r="F186" s="26" t="str">
        <f t="shared" si="114"/>
        <v>323</v>
      </c>
      <c r="G186" s="86" t="s">
        <v>91</v>
      </c>
      <c r="H186" s="86" t="s">
        <v>93</v>
      </c>
      <c r="I186" s="87">
        <f>_xlfn.IFNA(VLOOKUP(G186,'Posebni dio-programska_2024'!A$182:D$187,4,FALSE),999999)</f>
        <v>403.5</v>
      </c>
      <c r="J186" s="87">
        <v>800</v>
      </c>
      <c r="K186" s="87">
        <f t="shared" si="143"/>
        <v>1023.75</v>
      </c>
      <c r="L186" s="87">
        <f t="shared" si="105"/>
        <v>253.71747211895911</v>
      </c>
      <c r="M186" s="87">
        <f t="shared" si="106"/>
        <v>127.96875000000001</v>
      </c>
      <c r="N186" s="31"/>
      <c r="O186" s="25">
        <v>1023.75</v>
      </c>
      <c r="S186" s="87">
        <f t="shared" si="146"/>
        <v>1023.75</v>
      </c>
      <c r="T186" s="87">
        <v>1023.75</v>
      </c>
      <c r="U186" s="87">
        <f t="shared" si="115"/>
        <v>0</v>
      </c>
      <c r="Y186" s="87">
        <f>_xlfn.IFNA(VLOOKUP(G186,[4]IspisZahtjevaRviRazdobljaSumira!$A$186:$G$192,6,FALSE),999999)</f>
        <v>1023.75</v>
      </c>
      <c r="Z186" s="87">
        <f t="shared" si="144"/>
        <v>0</v>
      </c>
      <c r="AA186" s="55" t="s">
        <v>253</v>
      </c>
      <c r="AB186" s="195">
        <f t="shared" si="135"/>
        <v>541</v>
      </c>
      <c r="AC186" s="195"/>
      <c r="AD186" s="87">
        <f t="shared" si="145"/>
        <v>0</v>
      </c>
      <c r="AE186" s="87">
        <f>_xlfn.IFNA(VLOOKUP(G186,[5]Rashodi!$B$148:$F$154,5,FALSE), 0)</f>
        <v>1023.75</v>
      </c>
      <c r="AF186" s="194">
        <f t="shared" si="134"/>
        <v>0</v>
      </c>
    </row>
    <row r="187" spans="1:32" ht="20.100000000000001" customHeight="1" outlineLevel="1" x14ac:dyDescent="0.2">
      <c r="A187" s="30" t="s">
        <v>472</v>
      </c>
      <c r="B187" s="26" t="s">
        <v>328</v>
      </c>
      <c r="C187" s="30">
        <v>541</v>
      </c>
      <c r="D187" s="30" t="str">
        <f t="shared" si="141"/>
        <v>3</v>
      </c>
      <c r="E187" s="30" t="str">
        <f t="shared" si="142"/>
        <v>32</v>
      </c>
      <c r="F187" s="26" t="str">
        <f t="shared" si="114"/>
        <v>323</v>
      </c>
      <c r="G187" s="86" t="s">
        <v>41</v>
      </c>
      <c r="H187" s="86" t="s">
        <v>43</v>
      </c>
      <c r="I187" s="87">
        <f>_xlfn.IFNA(VLOOKUP(G187,'Posebni dio-programska_2024'!A$182:D$187,4,FALSE),999999)</f>
        <v>0</v>
      </c>
      <c r="J187" s="87">
        <v>1100</v>
      </c>
      <c r="K187" s="87">
        <f t="shared" si="143"/>
        <v>730.64</v>
      </c>
      <c r="L187" s="87">
        <f t="shared" si="105"/>
        <v>0</v>
      </c>
      <c r="M187" s="87">
        <f t="shared" si="106"/>
        <v>66.421818181818182</v>
      </c>
      <c r="N187" s="31">
        <v>730.64</v>
      </c>
      <c r="S187" s="87">
        <f t="shared" si="146"/>
        <v>730.64</v>
      </c>
      <c r="T187" s="87">
        <v>730.64</v>
      </c>
      <c r="U187" s="87">
        <f t="shared" si="115"/>
        <v>0</v>
      </c>
      <c r="Y187" s="87">
        <f>_xlfn.IFNA(VLOOKUP(G187,[4]IspisZahtjevaRviRazdobljaSumira!$A$186:$G$192,6,FALSE),999999)</f>
        <v>730.64</v>
      </c>
      <c r="Z187" s="87">
        <f t="shared" si="144"/>
        <v>0</v>
      </c>
      <c r="AA187" s="55" t="s">
        <v>254</v>
      </c>
      <c r="AB187" s="195">
        <f t="shared" si="135"/>
        <v>541</v>
      </c>
      <c r="AC187" s="195"/>
      <c r="AD187" s="87">
        <f t="shared" si="145"/>
        <v>0</v>
      </c>
      <c r="AE187" s="87">
        <f>_xlfn.IFNA(VLOOKUP(G187,[5]Rashodi!$B$148:$F$154,5,FALSE), 0)</f>
        <v>730.64</v>
      </c>
      <c r="AF187" s="194">
        <f t="shared" si="134"/>
        <v>0</v>
      </c>
    </row>
    <row r="188" spans="1:32" ht="20.100000000000001" customHeight="1" outlineLevel="1" thickBot="1" x14ac:dyDescent="0.25">
      <c r="A188" s="30" t="s">
        <v>472</v>
      </c>
      <c r="B188" s="26" t="s">
        <v>328</v>
      </c>
      <c r="C188" s="30">
        <v>541</v>
      </c>
      <c r="D188" s="30" t="str">
        <f t="shared" si="141"/>
        <v>3</v>
      </c>
      <c r="E188" s="30" t="str">
        <f t="shared" si="142"/>
        <v>32</v>
      </c>
      <c r="F188" s="26" t="str">
        <f t="shared" si="114"/>
        <v>323</v>
      </c>
      <c r="G188" s="86" t="s">
        <v>126</v>
      </c>
      <c r="H188" s="86" t="s">
        <v>128</v>
      </c>
      <c r="I188" s="87">
        <f>_xlfn.IFNA(VLOOKUP(G188,'Posebni dio-programska_2024'!A$182:D$187,4,FALSE),999999)</f>
        <v>757.07</v>
      </c>
      <c r="J188" s="87">
        <v>400</v>
      </c>
      <c r="K188" s="87">
        <f t="shared" si="143"/>
        <v>343.75</v>
      </c>
      <c r="L188" s="87">
        <f t="shared" si="105"/>
        <v>45.405312586682868</v>
      </c>
      <c r="M188" s="87">
        <f t="shared" si="106"/>
        <v>85.9375</v>
      </c>
      <c r="N188" s="31">
        <v>343.75</v>
      </c>
      <c r="S188" s="87">
        <f t="shared" si="146"/>
        <v>343.75</v>
      </c>
      <c r="T188" s="87">
        <v>343.75</v>
      </c>
      <c r="U188" s="87">
        <f t="shared" si="115"/>
        <v>0</v>
      </c>
      <c r="Y188" s="87">
        <f>_xlfn.IFNA(VLOOKUP(G188,[4]IspisZahtjevaRviRazdobljaSumira!$A$186:$G$192,6,FALSE),999999)</f>
        <v>343.75</v>
      </c>
      <c r="Z188" s="87">
        <f t="shared" si="144"/>
        <v>0</v>
      </c>
      <c r="AA188" s="55" t="s">
        <v>255</v>
      </c>
      <c r="AB188" s="195">
        <f t="shared" si="135"/>
        <v>541</v>
      </c>
      <c r="AC188" s="195"/>
      <c r="AD188" s="87">
        <f t="shared" si="145"/>
        <v>0</v>
      </c>
      <c r="AE188" s="87">
        <f>_xlfn.IFNA(VLOOKUP(G188,[5]Rashodi!$B$148:$F$154,5,FALSE), 0)</f>
        <v>343.75</v>
      </c>
      <c r="AF188" s="194">
        <f t="shared" si="134"/>
        <v>0</v>
      </c>
    </row>
    <row r="189" spans="1:32" ht="35.1" customHeight="1" thickBot="1" x14ac:dyDescent="0.25">
      <c r="A189" s="30"/>
      <c r="G189" s="225" t="s">
        <v>256</v>
      </c>
      <c r="H189" s="225"/>
      <c r="I189" s="82">
        <f>SUM(I190:I190)</f>
        <v>0</v>
      </c>
      <c r="J189" s="82">
        <f>SUM(J190:J190)</f>
        <v>0</v>
      </c>
      <c r="K189" s="82">
        <f t="shared" ref="K189" si="147">SUM(K190:K190)</f>
        <v>0</v>
      </c>
      <c r="L189" s="82">
        <f t="shared" si="105"/>
        <v>0</v>
      </c>
      <c r="M189" s="82">
        <f t="shared" si="106"/>
        <v>0</v>
      </c>
      <c r="S189" s="82">
        <f t="shared" ref="S189" si="148">SUM(S190:S190)</f>
        <v>0</v>
      </c>
      <c r="T189" s="82">
        <f t="shared" ref="T189:U189" si="149">SUM(T190:T190)</f>
        <v>0</v>
      </c>
      <c r="U189" s="82">
        <f t="shared" si="149"/>
        <v>0</v>
      </c>
      <c r="Y189" s="82">
        <f t="shared" ref="Y189:AE189" si="150">SUM(Y190:Y190)</f>
        <v>0</v>
      </c>
      <c r="Z189" s="82">
        <f t="shared" si="150"/>
        <v>0</v>
      </c>
      <c r="AA189" s="55"/>
      <c r="AB189" s="195">
        <f t="shared" si="135"/>
        <v>0</v>
      </c>
      <c r="AC189" s="195"/>
      <c r="AD189" s="82">
        <f t="shared" si="150"/>
        <v>0</v>
      </c>
      <c r="AE189" s="82">
        <f t="shared" si="150"/>
        <v>0</v>
      </c>
      <c r="AF189" s="194">
        <f t="shared" si="134"/>
        <v>0</v>
      </c>
    </row>
    <row r="190" spans="1:32" ht="24.95" customHeight="1" x14ac:dyDescent="0.2">
      <c r="A190" s="30"/>
      <c r="G190" s="230" t="s">
        <v>56</v>
      </c>
      <c r="H190" s="230"/>
      <c r="I190" s="79">
        <f>SUMIFS(I191:I357,$B191:$B357,"A212403",$C191:$C357,"112")</f>
        <v>0</v>
      </c>
      <c r="J190" s="79">
        <f>SUMIFS(J191:J357,$B191:$B357,"A212403",$C191:$C357,"112")</f>
        <v>0</v>
      </c>
      <c r="K190" s="79">
        <v>0</v>
      </c>
      <c r="L190" s="79">
        <f t="shared" si="105"/>
        <v>0</v>
      </c>
      <c r="M190" s="79">
        <f t="shared" si="106"/>
        <v>0</v>
      </c>
      <c r="S190" s="79">
        <v>0</v>
      </c>
      <c r="T190" s="79">
        <v>0</v>
      </c>
      <c r="U190" s="79">
        <v>0</v>
      </c>
      <c r="Y190" s="79">
        <v>0</v>
      </c>
      <c r="Z190" s="79">
        <v>0</v>
      </c>
      <c r="AA190" s="55"/>
      <c r="AB190" s="195">
        <f t="shared" si="135"/>
        <v>0</v>
      </c>
      <c r="AC190" s="195"/>
      <c r="AD190" s="79">
        <v>0</v>
      </c>
      <c r="AE190" s="79">
        <v>0</v>
      </c>
      <c r="AF190" s="194">
        <f t="shared" si="134"/>
        <v>0</v>
      </c>
    </row>
    <row r="191" spans="1:32" ht="20.100000000000001" customHeight="1" outlineLevel="1" thickBot="1" x14ac:dyDescent="0.25">
      <c r="A191" s="30" t="s">
        <v>472</v>
      </c>
      <c r="B191" s="26" t="s">
        <v>329</v>
      </c>
      <c r="C191" s="30">
        <v>112</v>
      </c>
      <c r="D191" s="30" t="str">
        <f>LEFT(G191,1)</f>
        <v>3</v>
      </c>
      <c r="E191" s="30" t="str">
        <f>LEFT(G191,2)</f>
        <v>32</v>
      </c>
      <c r="F191" s="26" t="str">
        <f>LEFT(G191,3)</f>
        <v>321</v>
      </c>
      <c r="G191" s="86" t="s">
        <v>130</v>
      </c>
      <c r="H191" s="86" t="s">
        <v>132</v>
      </c>
      <c r="I191" s="87"/>
      <c r="J191" s="87">
        <v>0</v>
      </c>
      <c r="K191" s="87"/>
      <c r="L191" s="87">
        <f t="shared" si="105"/>
        <v>0</v>
      </c>
      <c r="M191" s="87">
        <f t="shared" si="106"/>
        <v>0</v>
      </c>
      <c r="N191" s="31"/>
      <c r="S191" s="87"/>
      <c r="T191" s="87"/>
      <c r="U191" s="87"/>
      <c r="Y191" s="87"/>
      <c r="Z191" s="87"/>
      <c r="AA191" s="55" t="s">
        <v>257</v>
      </c>
      <c r="AB191" s="195">
        <f t="shared" si="135"/>
        <v>112</v>
      </c>
      <c r="AC191" s="195" t="str">
        <f>B191</f>
        <v>A212403</v>
      </c>
      <c r="AD191" s="87">
        <f>U191</f>
        <v>0</v>
      </c>
      <c r="AE191" s="87"/>
      <c r="AF191" s="194">
        <f t="shared" si="134"/>
        <v>0</v>
      </c>
    </row>
    <row r="192" spans="1:32" ht="35.1" customHeight="1" thickBot="1" x14ac:dyDescent="0.25">
      <c r="A192" s="30"/>
      <c r="G192" s="225" t="s">
        <v>258</v>
      </c>
      <c r="H192" s="225"/>
      <c r="I192" s="82">
        <f>SUM(I193:I193)</f>
        <v>182700</v>
      </c>
      <c r="J192" s="82">
        <f>SUM(J193:J193)</f>
        <v>185500</v>
      </c>
      <c r="K192" s="82">
        <f t="shared" ref="K192" si="151">SUM(K193:K193)</f>
        <v>185500</v>
      </c>
      <c r="L192" s="82">
        <f t="shared" si="105"/>
        <v>101.53256704980842</v>
      </c>
      <c r="M192" s="82">
        <f t="shared" si="106"/>
        <v>100</v>
      </c>
      <c r="S192" s="82">
        <f t="shared" ref="S192" si="152">SUM(S193:S193)</f>
        <v>185500</v>
      </c>
      <c r="T192" s="82">
        <f t="shared" ref="T192:U192" si="153">SUM(T193:T193)</f>
        <v>185500</v>
      </c>
      <c r="U192" s="82">
        <f t="shared" si="153"/>
        <v>0</v>
      </c>
      <c r="Y192" s="82">
        <f t="shared" ref="Y192:AE192" si="154">SUM(Y193:Y193)</f>
        <v>185500</v>
      </c>
      <c r="Z192" s="82">
        <f t="shared" si="154"/>
        <v>0</v>
      </c>
      <c r="AA192" s="55"/>
      <c r="AB192" s="195">
        <f t="shared" si="135"/>
        <v>0</v>
      </c>
      <c r="AC192" s="195"/>
      <c r="AD192" s="82">
        <f t="shared" si="154"/>
        <v>-2.9103830456733704E-11</v>
      </c>
      <c r="AE192" s="82">
        <f t="shared" si="154"/>
        <v>185500</v>
      </c>
      <c r="AF192" s="194">
        <f t="shared" si="134"/>
        <v>0</v>
      </c>
    </row>
    <row r="193" spans="1:33" ht="24.95" customHeight="1" x14ac:dyDescent="0.2">
      <c r="A193" s="30"/>
      <c r="G193" s="230" t="s">
        <v>56</v>
      </c>
      <c r="H193" s="230"/>
      <c r="I193" s="79">
        <f>SUMIFS(I194:I360,$B194:$B360,"A212404",$C194:$C360,"112")</f>
        <v>182700</v>
      </c>
      <c r="J193" s="79">
        <f>SUMIFS(J194:J360,$B194:$B360,"A212404",$C194:$C360,"112")</f>
        <v>185500</v>
      </c>
      <c r="K193" s="79">
        <f>SUMIFS(K194:K360,$B194:$B360,"A212404",$C194:$C360,"112")</f>
        <v>185500</v>
      </c>
      <c r="L193" s="79">
        <f t="shared" si="105"/>
        <v>101.53256704980842</v>
      </c>
      <c r="M193" s="79">
        <f t="shared" si="106"/>
        <v>100</v>
      </c>
      <c r="S193" s="79">
        <f>SUMIFS(S194:S360,$B194:$B360,"A212404",$C194:$C360,"112")</f>
        <v>185500</v>
      </c>
      <c r="T193" s="79">
        <f>SUMIFS(T194:T360,$B194:$B360,"A212404",$C194:$C360,"112")</f>
        <v>185500</v>
      </c>
      <c r="U193" s="79">
        <f>SUMIFS(U194:U360,$B194:$B360,"A212404",$C194:$C360,"112")</f>
        <v>0</v>
      </c>
      <c r="Y193" s="79">
        <f>SUMIFS(Y194:Y360,$B194:$B360,"A212404",$C194:$C360,"112")</f>
        <v>185500</v>
      </c>
      <c r="Z193" s="79">
        <f>SUMIFS(Z194:Z360,$B194:$B360,"A212404",$C194:$C360,"112")</f>
        <v>0</v>
      </c>
      <c r="AA193" s="55"/>
      <c r="AB193" s="195">
        <f t="shared" si="135"/>
        <v>0</v>
      </c>
      <c r="AC193" s="195"/>
      <c r="AD193" s="79">
        <f>SUMIFS(AD194:AD360,$B194:$B360,"A212404",$C194:$C360,"112")</f>
        <v>-2.9103830456733704E-11</v>
      </c>
      <c r="AE193" s="79">
        <f>SUMIFS(AE194:AE360,$B194:$B360,"A212404",$C194:$C360,"112")</f>
        <v>185500</v>
      </c>
      <c r="AF193" s="194">
        <f t="shared" si="134"/>
        <v>0</v>
      </c>
    </row>
    <row r="194" spans="1:33" ht="20.100000000000001" customHeight="1" outlineLevel="1" x14ac:dyDescent="0.2">
      <c r="A194" s="30" t="s">
        <v>472</v>
      </c>
      <c r="B194" s="26" t="s">
        <v>330</v>
      </c>
      <c r="C194" s="30">
        <v>112</v>
      </c>
      <c r="D194" s="30" t="str">
        <f>LEFT(G194,1)</f>
        <v>3</v>
      </c>
      <c r="E194" s="30" t="str">
        <f>LEFT(G194,2)</f>
        <v>32</v>
      </c>
      <c r="F194" s="26" t="str">
        <f>LEFT(G194,3)</f>
        <v>323</v>
      </c>
      <c r="G194" s="86" t="s">
        <v>97</v>
      </c>
      <c r="H194" s="86" t="s">
        <v>99</v>
      </c>
      <c r="I194" s="87">
        <v>182700</v>
      </c>
      <c r="J194" s="87">
        <v>0</v>
      </c>
      <c r="K194" s="87">
        <v>185500</v>
      </c>
      <c r="L194" s="87">
        <f t="shared" si="105"/>
        <v>101.53256704980842</v>
      </c>
      <c r="M194" s="87">
        <f t="shared" si="106"/>
        <v>0</v>
      </c>
      <c r="N194" s="31"/>
      <c r="S194" s="87">
        <v>185500</v>
      </c>
      <c r="T194" s="87">
        <v>0</v>
      </c>
      <c r="U194" s="87">
        <f t="shared" ref="U194:U195" si="155">K194-T194</f>
        <v>185500</v>
      </c>
      <c r="Y194" s="87">
        <f>_xlfn.IFNA(VLOOKUP(G194,[4]IspisZahtjevaRviRazdobljaSumira!$A$198:$G$199,6,FALSE),999999)</f>
        <v>0</v>
      </c>
      <c r="Z194" s="87">
        <f t="shared" ref="Z194:Z195" si="156">Y194-K194</f>
        <v>-185500</v>
      </c>
      <c r="AA194" s="55" t="s">
        <v>259</v>
      </c>
      <c r="AB194" s="195">
        <f t="shared" si="135"/>
        <v>112</v>
      </c>
      <c r="AC194" s="195" t="str">
        <f t="shared" ref="AC194:AC195" si="157">B194</f>
        <v>A212404</v>
      </c>
      <c r="AD194" s="193">
        <v>185499.99999999997</v>
      </c>
      <c r="AE194" s="87">
        <f>_xlfn.IFNA(VLOOKUP(G194,[5]Rashodi!$B$160:$F$161,5,FALSE), 0)</f>
        <v>185500</v>
      </c>
      <c r="AF194" s="194">
        <f t="shared" si="134"/>
        <v>0</v>
      </c>
    </row>
    <row r="195" spans="1:33" ht="20.100000000000001" customHeight="1" outlineLevel="1" thickBot="1" x14ac:dyDescent="0.25">
      <c r="A195" s="30" t="s">
        <v>472</v>
      </c>
      <c r="B195" s="26" t="s">
        <v>330</v>
      </c>
      <c r="C195" s="30">
        <v>112</v>
      </c>
      <c r="D195" s="30" t="str">
        <f>LEFT(G195,1)</f>
        <v>3</v>
      </c>
      <c r="E195" s="30" t="str">
        <f>LEFT(G195,2)</f>
        <v>37</v>
      </c>
      <c r="F195" s="26" t="str">
        <f>LEFT(G195,3)</f>
        <v>372</v>
      </c>
      <c r="G195" s="86" t="s">
        <v>260</v>
      </c>
      <c r="H195" s="86" t="s">
        <v>262</v>
      </c>
      <c r="I195" s="87">
        <v>0</v>
      </c>
      <c r="J195" s="87">
        <v>185500</v>
      </c>
      <c r="K195" s="87"/>
      <c r="L195" s="87">
        <f t="shared" si="105"/>
        <v>0</v>
      </c>
      <c r="M195" s="87">
        <f t="shared" si="106"/>
        <v>0</v>
      </c>
      <c r="N195" s="31"/>
      <c r="S195" s="87"/>
      <c r="T195" s="87">
        <v>185500</v>
      </c>
      <c r="U195" s="87">
        <f t="shared" si="155"/>
        <v>-185500</v>
      </c>
      <c r="Y195" s="87">
        <f>_xlfn.IFNA(VLOOKUP(G195,[4]IspisZahtjevaRviRazdobljaSumira!$A$198:$G$199,6,FALSE),999999)</f>
        <v>185500</v>
      </c>
      <c r="Z195" s="87">
        <f t="shared" si="156"/>
        <v>185500</v>
      </c>
      <c r="AA195" s="55" t="s">
        <v>261</v>
      </c>
      <c r="AB195" s="195">
        <f t="shared" si="135"/>
        <v>112</v>
      </c>
      <c r="AC195" s="195" t="str">
        <f t="shared" si="157"/>
        <v>A212404</v>
      </c>
      <c r="AD195" s="193">
        <v>-185500</v>
      </c>
      <c r="AE195" s="87">
        <f>_xlfn.IFNA(VLOOKUP(G195,[5]Rashodi!$B$160:$F$161,5,FALSE), 0)</f>
        <v>0</v>
      </c>
      <c r="AF195" s="194">
        <f t="shared" si="134"/>
        <v>0</v>
      </c>
    </row>
    <row r="196" spans="1:33" ht="35.1" customHeight="1" thickBot="1" x14ac:dyDescent="0.25">
      <c r="A196" s="30"/>
      <c r="G196" s="225" t="s">
        <v>263</v>
      </c>
      <c r="H196" s="225"/>
      <c r="I196" s="82">
        <f>I197+I205+I214+I218+I222+I226+I229</f>
        <v>1940864.36</v>
      </c>
      <c r="J196" s="82">
        <f>J197+J205+J214+J218+J222+J226+J229</f>
        <v>2825300</v>
      </c>
      <c r="K196" s="82">
        <f>K197+K205+K214+K218+K222+K226+K229</f>
        <v>2252929.9200000004</v>
      </c>
      <c r="L196" s="82">
        <f t="shared" si="105"/>
        <v>116.07868980602025</v>
      </c>
      <c r="M196" s="82">
        <f t="shared" si="106"/>
        <v>79.741263582628406</v>
      </c>
      <c r="S196" s="82">
        <f>S197+S205+S214+S218+S222+S226+S229</f>
        <v>2252929.92</v>
      </c>
      <c r="T196" s="82">
        <f>T197+T205+T214+T218+T222+T226+T229</f>
        <v>2249697.46</v>
      </c>
      <c r="U196" s="82">
        <f>U197+U205+U214+U218+U222+U226+U229</f>
        <v>3232.4600000001155</v>
      </c>
      <c r="Y196" s="82">
        <f>Y197+Y205+Y214+Y218+Y222+Y226+Y229</f>
        <v>2249697.46</v>
      </c>
      <c r="Z196" s="82">
        <f>Z197+Z205+Z214+Z218+Z222+Z226+Z229</f>
        <v>-3232.4600000001155</v>
      </c>
      <c r="AA196" s="55"/>
      <c r="AB196" s="195">
        <f t="shared" si="135"/>
        <v>0</v>
      </c>
      <c r="AC196" s="195"/>
      <c r="AD196" s="82">
        <f>AD197+AD205+AD214+AD218+AD222+AD226+AD229</f>
        <v>3232.4599999999964</v>
      </c>
      <c r="AE196" s="82">
        <f>AE197+AE205+AE214+AE218+AE222+AE226+AE229</f>
        <v>2252929.92</v>
      </c>
      <c r="AF196" s="194">
        <f t="shared" si="134"/>
        <v>0</v>
      </c>
    </row>
    <row r="197" spans="1:33" ht="24.95" customHeight="1" x14ac:dyDescent="0.2">
      <c r="A197" s="30"/>
      <c r="G197" s="230" t="s">
        <v>56</v>
      </c>
      <c r="H197" s="230"/>
      <c r="I197" s="79">
        <f>SUMIFS(I198:I364,$B198:$B364,"K212401",$C198:$C364,"112")</f>
        <v>1143395.79</v>
      </c>
      <c r="J197" s="79">
        <f>SUMIFS(J198:J364,$B198:$B364,"K212401",$C198:$C364,"112")</f>
        <v>2117200</v>
      </c>
      <c r="K197" s="79">
        <f>SUMIFS(K198:K364,$B198:$B364,"K212401",$C198:$C364,"112")</f>
        <v>1360493.2000000002</v>
      </c>
      <c r="L197" s="79">
        <f t="shared" si="105"/>
        <v>118.98707445826786</v>
      </c>
      <c r="M197" s="79">
        <f t="shared" si="106"/>
        <v>64.259078027583598</v>
      </c>
      <c r="S197" s="79">
        <f>SUMIFS(S198:S364,$B198:$B364,"K212401",$C198:$C364,"112")</f>
        <v>1357260.74</v>
      </c>
      <c r="T197" s="79">
        <f>SUMIFS(T198:T364,$B198:$B364,"K212401",$C198:$C364,"112")</f>
        <v>1357260.74</v>
      </c>
      <c r="U197" s="79">
        <f>SUMIFS(U198:U364,$B198:$B364,"K212401",$C198:$C364,"112")</f>
        <v>3232.4600000001155</v>
      </c>
      <c r="Y197" s="79">
        <f>SUMIFS(Y198:Y364,$B198:$B364,"K212401",$C198:$C364,"112")</f>
        <v>1357260.74</v>
      </c>
      <c r="Z197" s="79">
        <f>SUMIFS(Z198:Z364,$B198:$B364,"K212401",$C198:$C364,"112")</f>
        <v>-3232.4600000001155</v>
      </c>
      <c r="AA197" s="55"/>
      <c r="AB197" s="195">
        <f t="shared" si="135"/>
        <v>0</v>
      </c>
      <c r="AC197" s="195"/>
      <c r="AD197" s="79">
        <f>SUMIFS(AD198:AD364,$B198:$B364,"K212401",$C198:$C364,"112")</f>
        <v>0</v>
      </c>
      <c r="AE197" s="79">
        <f>SUMIFS(AE198:AE364,$B198:$B364,"K212401",$C198:$C364,"112")</f>
        <v>1357260.74</v>
      </c>
      <c r="AF197" s="194">
        <f t="shared" si="134"/>
        <v>3232.46</v>
      </c>
    </row>
    <row r="198" spans="1:33" ht="20.100000000000001" customHeight="1" outlineLevel="1" x14ac:dyDescent="0.2">
      <c r="A198" s="30" t="s">
        <v>472</v>
      </c>
      <c r="B198" s="26" t="s">
        <v>331</v>
      </c>
      <c r="C198" s="30">
        <v>112</v>
      </c>
      <c r="D198" s="30" t="str">
        <f t="shared" ref="D198:D204" si="158">LEFT(G198,1)</f>
        <v>3</v>
      </c>
      <c r="E198" s="30" t="str">
        <f t="shared" ref="E198:E204" si="159">LEFT(G198,2)</f>
        <v>32</v>
      </c>
      <c r="F198" s="26" t="str">
        <f t="shared" ref="F198:F204" si="160">LEFT(G198,3)</f>
        <v>322</v>
      </c>
      <c r="G198" s="86" t="s">
        <v>75</v>
      </c>
      <c r="H198" s="86" t="s">
        <v>77</v>
      </c>
      <c r="I198" s="87">
        <v>0</v>
      </c>
      <c r="J198" s="87">
        <v>0</v>
      </c>
      <c r="K198" s="87"/>
      <c r="L198" s="87">
        <f t="shared" si="105"/>
        <v>0</v>
      </c>
      <c r="M198" s="87">
        <f t="shared" si="106"/>
        <v>0</v>
      </c>
      <c r="N198" s="31"/>
      <c r="S198" s="87"/>
      <c r="T198" s="87">
        <v>0</v>
      </c>
      <c r="U198" s="87">
        <f t="shared" ref="U198:U228" si="161">K198-T198</f>
        <v>0</v>
      </c>
      <c r="Y198" s="87">
        <f>_xlfn.IFNA(VLOOKUP(G198,[4]IspisZahtjevaRviRazdobljaSumira!$A$202:$G$208,6,FALSE),999999)</f>
        <v>0</v>
      </c>
      <c r="Z198" s="87">
        <f t="shared" ref="Z198:Z204" si="162">Y198-K198</f>
        <v>0</v>
      </c>
      <c r="AA198" s="55" t="s">
        <v>264</v>
      </c>
      <c r="AB198" s="195">
        <f t="shared" si="135"/>
        <v>112</v>
      </c>
      <c r="AC198" s="195" t="str">
        <f t="shared" ref="AC198:AC204" si="163">B198</f>
        <v>K212401</v>
      </c>
      <c r="AD198" s="87">
        <f t="shared" ref="AD198:AD204" si="164">U198</f>
        <v>0</v>
      </c>
      <c r="AE198" s="87">
        <f>_xlfn.IFNA(VLOOKUP(G198,[5]Rashodi!$B$164:$F$170,5,FALSE), 0)</f>
        <v>0</v>
      </c>
      <c r="AF198" s="194">
        <f t="shared" si="134"/>
        <v>0</v>
      </c>
    </row>
    <row r="199" spans="1:33" ht="20.100000000000001" customHeight="1" outlineLevel="1" x14ac:dyDescent="0.2">
      <c r="A199" s="30" t="s">
        <v>472</v>
      </c>
      <c r="B199" s="26" t="s">
        <v>331</v>
      </c>
      <c r="C199" s="30">
        <v>112</v>
      </c>
      <c r="D199" s="30" t="str">
        <f t="shared" si="158"/>
        <v>3</v>
      </c>
      <c r="E199" s="30" t="str">
        <f t="shared" si="159"/>
        <v>32</v>
      </c>
      <c r="F199" s="26" t="str">
        <f t="shared" si="160"/>
        <v>323</v>
      </c>
      <c r="G199" s="86" t="s">
        <v>38</v>
      </c>
      <c r="H199" s="86" t="s">
        <v>40</v>
      </c>
      <c r="I199" s="87">
        <v>0</v>
      </c>
      <c r="J199" s="87">
        <v>0</v>
      </c>
      <c r="K199" s="87"/>
      <c r="L199" s="87">
        <f t="shared" si="105"/>
        <v>0</v>
      </c>
      <c r="M199" s="87">
        <f t="shared" si="106"/>
        <v>0</v>
      </c>
      <c r="N199" s="31"/>
      <c r="S199" s="87"/>
      <c r="T199" s="87">
        <v>0</v>
      </c>
      <c r="U199" s="87">
        <f t="shared" si="161"/>
        <v>0</v>
      </c>
      <c r="Y199" s="87">
        <f>_xlfn.IFNA(VLOOKUP(G199,[4]IspisZahtjevaRviRazdobljaSumira!$A$202:$G$208,6,FALSE),999999)</f>
        <v>0</v>
      </c>
      <c r="Z199" s="87">
        <f t="shared" si="162"/>
        <v>0</v>
      </c>
      <c r="AA199" s="55" t="s">
        <v>265</v>
      </c>
      <c r="AB199" s="195">
        <f t="shared" si="135"/>
        <v>112</v>
      </c>
      <c r="AC199" s="195" t="str">
        <f t="shared" si="163"/>
        <v>K212401</v>
      </c>
      <c r="AD199" s="87">
        <f t="shared" si="164"/>
        <v>0</v>
      </c>
      <c r="AE199" s="87">
        <f>_xlfn.IFNA(VLOOKUP(G199,[5]Rashodi!$B$164:$F$170,5,FALSE), 0)</f>
        <v>0</v>
      </c>
      <c r="AF199" s="194">
        <f t="shared" ref="AF199:AF230" si="165">ROUND(K199-T199-AD199,2)</f>
        <v>0</v>
      </c>
    </row>
    <row r="200" spans="1:33" ht="20.100000000000001" customHeight="1" outlineLevel="1" x14ac:dyDescent="0.2">
      <c r="A200" s="30" t="s">
        <v>472</v>
      </c>
      <c r="B200" s="26" t="s">
        <v>331</v>
      </c>
      <c r="C200" s="30">
        <v>112</v>
      </c>
      <c r="D200" s="30" t="str">
        <f t="shared" si="158"/>
        <v>4</v>
      </c>
      <c r="E200" s="30" t="str">
        <f t="shared" si="159"/>
        <v>42</v>
      </c>
      <c r="F200" s="26" t="str">
        <f t="shared" si="160"/>
        <v>422</v>
      </c>
      <c r="G200" s="86" t="s">
        <v>27</v>
      </c>
      <c r="H200" s="86" t="s">
        <v>29</v>
      </c>
      <c r="I200" s="87">
        <f>_xlfn.IFNA(VLOOKUP(G200,'Posebni dio-programska_2024'!A$194:D$196,4,FALSE),999999)</f>
        <v>0</v>
      </c>
      <c r="J200" s="87">
        <v>92800</v>
      </c>
      <c r="K200" s="87">
        <v>51118.87</v>
      </c>
      <c r="L200" s="87">
        <f t="shared" ref="L200:L230" si="166">IF(I200&lt;&gt;0,K200/I200*100,0)</f>
        <v>0</v>
      </c>
      <c r="M200" s="87">
        <f t="shared" ref="M200:M230" si="167">IF(J200&lt;&gt;0,K200/J200*100,0)</f>
        <v>55.084989224137935</v>
      </c>
      <c r="N200" s="31"/>
      <c r="S200" s="87">
        <f>K200+Z200</f>
        <v>47867.78</v>
      </c>
      <c r="T200" s="87">
        <v>47867.78</v>
      </c>
      <c r="U200" s="87">
        <f t="shared" si="161"/>
        <v>3251.0900000000038</v>
      </c>
      <c r="Y200" s="87">
        <f>_xlfn.IFNA(VLOOKUP(G200,[4]IspisZahtjevaRviRazdobljaSumira!$A$202:$G$208,6,FALSE),999999)</f>
        <v>47867.78</v>
      </c>
      <c r="Z200" s="193">
        <f t="shared" si="162"/>
        <v>-3251.0900000000038</v>
      </c>
      <c r="AA200" s="55" t="s">
        <v>266</v>
      </c>
      <c r="AB200" s="195">
        <f t="shared" si="135"/>
        <v>112</v>
      </c>
      <c r="AC200" s="195" t="str">
        <f t="shared" si="163"/>
        <v>K212401</v>
      </c>
      <c r="AD200" s="193"/>
      <c r="AE200" s="87">
        <f>_xlfn.IFNA(VLOOKUP(G200,[5]Rashodi!$B$164:$F$170,5,FALSE), 0)</f>
        <v>47867.78</v>
      </c>
      <c r="AF200" s="194">
        <f t="shared" si="165"/>
        <v>3251.09</v>
      </c>
    </row>
    <row r="201" spans="1:33" ht="20.100000000000001" customHeight="1" outlineLevel="1" x14ac:dyDescent="0.2">
      <c r="A201" s="30" t="s">
        <v>472</v>
      </c>
      <c r="B201" s="26" t="s">
        <v>331</v>
      </c>
      <c r="C201" s="30">
        <v>112</v>
      </c>
      <c r="D201" s="30" t="str">
        <f t="shared" si="158"/>
        <v>4</v>
      </c>
      <c r="E201" s="30" t="str">
        <f t="shared" si="159"/>
        <v>42</v>
      </c>
      <c r="F201" s="26" t="str">
        <f t="shared" si="160"/>
        <v>422</v>
      </c>
      <c r="G201" s="86" t="s">
        <v>30</v>
      </c>
      <c r="H201" s="86" t="s">
        <v>32</v>
      </c>
      <c r="I201" s="87">
        <v>0</v>
      </c>
      <c r="J201" s="87">
        <v>0</v>
      </c>
      <c r="K201" s="87"/>
      <c r="L201" s="87">
        <f t="shared" si="166"/>
        <v>0</v>
      </c>
      <c r="M201" s="87">
        <f t="shared" si="167"/>
        <v>0</v>
      </c>
      <c r="N201" s="31"/>
      <c r="R201" s="32"/>
      <c r="S201" s="87"/>
      <c r="T201" s="87">
        <v>0</v>
      </c>
      <c r="U201" s="87">
        <f t="shared" si="161"/>
        <v>0</v>
      </c>
      <c r="Y201" s="87">
        <f>_xlfn.IFNA(VLOOKUP(G201,[4]IspisZahtjevaRviRazdobljaSumira!$A$202:$G$208,6,FALSE),999999)</f>
        <v>0</v>
      </c>
      <c r="Z201" s="87">
        <f t="shared" si="162"/>
        <v>0</v>
      </c>
      <c r="AA201" s="55" t="s">
        <v>267</v>
      </c>
      <c r="AB201" s="195">
        <f t="shared" si="135"/>
        <v>112</v>
      </c>
      <c r="AC201" s="195" t="str">
        <f t="shared" si="163"/>
        <v>K212401</v>
      </c>
      <c r="AD201" s="87">
        <f t="shared" si="164"/>
        <v>0</v>
      </c>
      <c r="AE201" s="87">
        <f>_xlfn.IFNA(VLOOKUP(G201,[5]Rashodi!$B$164:$F$170,5,FALSE), 0)</f>
        <v>0</v>
      </c>
      <c r="AF201" s="194">
        <f t="shared" si="165"/>
        <v>0</v>
      </c>
    </row>
    <row r="202" spans="1:33" ht="20.100000000000001" customHeight="1" outlineLevel="1" x14ac:dyDescent="0.2">
      <c r="A202" s="30" t="s">
        <v>472</v>
      </c>
      <c r="B202" s="26" t="s">
        <v>331</v>
      </c>
      <c r="C202" s="30">
        <v>112</v>
      </c>
      <c r="D202" s="30" t="str">
        <f t="shared" si="158"/>
        <v>4</v>
      </c>
      <c r="E202" s="30" t="str">
        <f t="shared" si="159"/>
        <v>42</v>
      </c>
      <c r="F202" s="26" t="str">
        <f t="shared" si="160"/>
        <v>423</v>
      </c>
      <c r="G202" s="86" t="s">
        <v>14</v>
      </c>
      <c r="H202" s="86" t="s">
        <v>16</v>
      </c>
      <c r="I202" s="87">
        <v>0</v>
      </c>
      <c r="J202" s="87">
        <v>168000</v>
      </c>
      <c r="K202" s="87"/>
      <c r="L202" s="87">
        <f t="shared" si="166"/>
        <v>0</v>
      </c>
      <c r="M202" s="87">
        <f t="shared" si="167"/>
        <v>0</v>
      </c>
      <c r="N202" s="31"/>
      <c r="S202" s="87"/>
      <c r="T202" s="87">
        <v>0</v>
      </c>
      <c r="U202" s="87">
        <f t="shared" si="161"/>
        <v>0</v>
      </c>
      <c r="Y202" s="87">
        <f>_xlfn.IFNA(VLOOKUP(G202,[4]IspisZahtjevaRviRazdobljaSumira!$A$202:$G$208,6,FALSE),999999)</f>
        <v>0</v>
      </c>
      <c r="Z202" s="87">
        <f t="shared" si="162"/>
        <v>0</v>
      </c>
      <c r="AA202" s="55" t="s">
        <v>268</v>
      </c>
      <c r="AB202" s="195">
        <f t="shared" si="135"/>
        <v>112</v>
      </c>
      <c r="AC202" s="195" t="str">
        <f t="shared" si="163"/>
        <v>K212401</v>
      </c>
      <c r="AD202" s="87">
        <f t="shared" si="164"/>
        <v>0</v>
      </c>
      <c r="AE202" s="87">
        <f>_xlfn.IFNA(VLOOKUP(G202,[5]Rashodi!$B$164:$F$170,5,FALSE), 0)</f>
        <v>0</v>
      </c>
      <c r="AF202" s="194">
        <f t="shared" si="165"/>
        <v>0</v>
      </c>
    </row>
    <row r="203" spans="1:33" ht="20.100000000000001" customHeight="1" outlineLevel="1" x14ac:dyDescent="0.2">
      <c r="A203" s="30" t="s">
        <v>472</v>
      </c>
      <c r="B203" s="26" t="s">
        <v>331</v>
      </c>
      <c r="C203" s="30">
        <v>112</v>
      </c>
      <c r="D203" s="30" t="str">
        <f t="shared" si="158"/>
        <v>4</v>
      </c>
      <c r="E203" s="30" t="str">
        <f t="shared" si="159"/>
        <v>42</v>
      </c>
      <c r="F203" s="26" t="str">
        <f t="shared" si="160"/>
        <v>424</v>
      </c>
      <c r="G203" s="86" t="s">
        <v>17</v>
      </c>
      <c r="H203" s="86" t="s">
        <v>19</v>
      </c>
      <c r="I203" s="87">
        <f>_xlfn.IFNA(VLOOKUP(G203,'Posebni dio-programska_2024'!A$194:D$196,4,FALSE),999999)</f>
        <v>1108795.79</v>
      </c>
      <c r="J203" s="87">
        <v>1426000</v>
      </c>
      <c r="K203" s="87">
        <v>1299981.3700000001</v>
      </c>
      <c r="L203" s="87">
        <f t="shared" si="166"/>
        <v>117.24263220732468</v>
      </c>
      <c r="M203" s="87">
        <f t="shared" si="167"/>
        <v>91.162788920056101</v>
      </c>
      <c r="N203" s="31"/>
      <c r="R203" s="32"/>
      <c r="S203" s="87">
        <f>K203+Z203</f>
        <v>1300000</v>
      </c>
      <c r="T203" s="87">
        <v>1300000</v>
      </c>
      <c r="U203" s="87">
        <f t="shared" si="161"/>
        <v>-18.629999999888241</v>
      </c>
      <c r="Y203" s="87">
        <f>_xlfn.IFNA(VLOOKUP(G203,[4]IspisZahtjevaRviRazdobljaSumira!$A$202:$G$208,6,FALSE),999999)</f>
        <v>1300000</v>
      </c>
      <c r="Z203" s="87">
        <f t="shared" si="162"/>
        <v>18.629999999888241</v>
      </c>
      <c r="AA203" s="55" t="s">
        <v>269</v>
      </c>
      <c r="AB203" s="195">
        <f t="shared" si="135"/>
        <v>112</v>
      </c>
      <c r="AC203" s="195" t="str">
        <f t="shared" si="163"/>
        <v>K212401</v>
      </c>
      <c r="AD203" s="87"/>
      <c r="AE203" s="87">
        <f>_xlfn.IFNA(VLOOKUP(G203,[5]Rashodi!$B$164:$F$170,5,FALSE), 0)</f>
        <v>1300000</v>
      </c>
      <c r="AF203" s="194">
        <f t="shared" si="165"/>
        <v>-18.63</v>
      </c>
    </row>
    <row r="204" spans="1:33" ht="20.100000000000001" customHeight="1" outlineLevel="1" x14ac:dyDescent="0.2">
      <c r="A204" s="30" t="s">
        <v>472</v>
      </c>
      <c r="B204" s="26" t="s">
        <v>331</v>
      </c>
      <c r="C204" s="30">
        <v>112</v>
      </c>
      <c r="D204" s="30" t="str">
        <f t="shared" si="158"/>
        <v>4</v>
      </c>
      <c r="E204" s="30" t="str">
        <f t="shared" si="159"/>
        <v>45</v>
      </c>
      <c r="F204" s="26" t="str">
        <f t="shared" si="160"/>
        <v>451</v>
      </c>
      <c r="G204" s="86" t="s">
        <v>23</v>
      </c>
      <c r="H204" s="86" t="s">
        <v>25</v>
      </c>
      <c r="I204" s="87">
        <f>_xlfn.IFNA(VLOOKUP(G204,'Posebni dio-programska_2024'!A$194:D$196,4,FALSE),999999)</f>
        <v>34600</v>
      </c>
      <c r="J204" s="87">
        <v>430400</v>
      </c>
      <c r="K204" s="87">
        <v>9392.9599999999991</v>
      </c>
      <c r="L204" s="87">
        <f t="shared" si="166"/>
        <v>27.14728323699422</v>
      </c>
      <c r="M204" s="87">
        <f t="shared" si="167"/>
        <v>2.1823791821561334</v>
      </c>
      <c r="N204" s="31"/>
      <c r="S204" s="87">
        <v>9392.9599999999991</v>
      </c>
      <c r="T204" s="87">
        <v>9392.9599999999991</v>
      </c>
      <c r="U204" s="87">
        <f t="shared" si="161"/>
        <v>0</v>
      </c>
      <c r="Y204" s="87">
        <f>_xlfn.IFNA(VLOOKUP(G204,[4]IspisZahtjevaRviRazdobljaSumira!$A$202:$G$208,6,FALSE),999999)</f>
        <v>9392.9599999999991</v>
      </c>
      <c r="Z204" s="87">
        <f t="shared" si="162"/>
        <v>0</v>
      </c>
      <c r="AA204" s="55" t="s">
        <v>270</v>
      </c>
      <c r="AB204" s="195">
        <f t="shared" si="135"/>
        <v>112</v>
      </c>
      <c r="AC204" s="195" t="str">
        <f t="shared" si="163"/>
        <v>K212401</v>
      </c>
      <c r="AD204" s="87">
        <f t="shared" si="164"/>
        <v>0</v>
      </c>
      <c r="AE204" s="87">
        <f>_xlfn.IFNA(VLOOKUP(G204,[5]Rashodi!$B$164:$F$170,5,FALSE), 0)</f>
        <v>9392.9599999999991</v>
      </c>
      <c r="AF204" s="194">
        <f t="shared" si="165"/>
        <v>0</v>
      </c>
    </row>
    <row r="205" spans="1:33" ht="24.95" customHeight="1" x14ac:dyDescent="0.2">
      <c r="A205" s="30"/>
      <c r="G205" s="230" t="s">
        <v>129</v>
      </c>
      <c r="H205" s="230"/>
      <c r="I205" s="79">
        <f>SUMIFS(I206:I372,$B206:$B372,"K212401",$C206:$C372,"431")</f>
        <v>119547.22</v>
      </c>
      <c r="J205" s="79">
        <f>SUMIFS(J206:J372,$B206:$B372,"K212401",$C206:$C372,"431")</f>
        <v>57500</v>
      </c>
      <c r="K205" s="79">
        <f>SUMIFS(K206:K372,$B206:$B372,"K212401",$C206:$C372,"431")</f>
        <v>94495.19</v>
      </c>
      <c r="L205" s="79">
        <f t="shared" si="166"/>
        <v>79.044238753523501</v>
      </c>
      <c r="M205" s="79">
        <f t="shared" si="167"/>
        <v>164.33946086956522</v>
      </c>
      <c r="R205" s="32"/>
      <c r="S205" s="79">
        <f>SUMIFS(S206:S372,$B206:$B372,"K212401",$C206:$C372,"431")</f>
        <v>97735.98</v>
      </c>
      <c r="T205" s="79">
        <f>SUMIFS(T206:T372,$B206:$B372,"K212401",$C206:$C372,"431")</f>
        <v>94495.19</v>
      </c>
      <c r="U205" s="79">
        <f>SUMIFS(U206:U372,$B206:$B372,"K212401",$C206:$C372,"431")</f>
        <v>0</v>
      </c>
      <c r="Y205" s="79">
        <f>SUMIFS(Y206:Y372,$B206:$B372,"K212401",$C206:$C372,"431")</f>
        <v>94495.19</v>
      </c>
      <c r="Z205" s="79">
        <f>SUMIFS(Z206:Z372,$B206:$B372,"K212401",$C206:$C372,"431")</f>
        <v>0</v>
      </c>
      <c r="AA205" s="55"/>
      <c r="AB205" s="195">
        <f t="shared" si="135"/>
        <v>0</v>
      </c>
      <c r="AC205" s="195"/>
      <c r="AD205" s="79">
        <f>SUMIFS(AD206:AD372,$B206:$B372,"K212401",$C206:$C372,"431")</f>
        <v>3240.7899999999963</v>
      </c>
      <c r="AE205" s="79">
        <f>SUMIFS(AE206:AE372,$B206:$B372,"K212401",$C206:$C372,"431")</f>
        <v>97727.65</v>
      </c>
      <c r="AF205" s="194">
        <f t="shared" si="165"/>
        <v>-3240.79</v>
      </c>
      <c r="AG205" s="79">
        <f>SUBTOTAL(9,AD206:AD211)</f>
        <v>3240.7899999999963</v>
      </c>
    </row>
    <row r="206" spans="1:33" ht="20.100000000000001" customHeight="1" outlineLevel="1" x14ac:dyDescent="0.2">
      <c r="A206" s="30" t="s">
        <v>472</v>
      </c>
      <c r="B206" s="26" t="s">
        <v>331</v>
      </c>
      <c r="C206" s="30">
        <v>431</v>
      </c>
      <c r="D206" s="30" t="str">
        <f t="shared" ref="D206:D213" si="168">LEFT(G206,1)</f>
        <v>4</v>
      </c>
      <c r="E206" s="30" t="str">
        <f t="shared" ref="E206:E213" si="169">LEFT(G206,2)</f>
        <v>42</v>
      </c>
      <c r="F206" s="26" t="str">
        <f t="shared" ref="F206:F230" si="170">LEFT(G206,3)</f>
        <v>422</v>
      </c>
      <c r="G206" s="86" t="s">
        <v>27</v>
      </c>
      <c r="H206" s="86" t="s">
        <v>29</v>
      </c>
      <c r="I206" s="87">
        <f>_xlfn.IFNA(VLOOKUP(G206,'Posebni dio-programska_2024'!A$198:D$204,4,FALSE),999999)</f>
        <v>25400.81</v>
      </c>
      <c r="J206" s="87">
        <v>36500</v>
      </c>
      <c r="K206" s="87">
        <v>75175.37</v>
      </c>
      <c r="L206" s="87">
        <f t="shared" si="166"/>
        <v>295.95658563644224</v>
      </c>
      <c r="M206" s="87">
        <f t="shared" si="167"/>
        <v>205.95991780821916</v>
      </c>
      <c r="N206" s="31"/>
      <c r="S206" s="87">
        <f>75175.37+3251.09</f>
        <v>78426.459999999992</v>
      </c>
      <c r="T206" s="87">
        <v>75175.37</v>
      </c>
      <c r="U206" s="87">
        <f t="shared" si="161"/>
        <v>0</v>
      </c>
      <c r="Y206" s="87">
        <f>_xlfn.IFNA(VLOOKUP(G206,[4]IspisZahtjevaRviRazdobljaSumira!$A$210:$G$217,6,FALSE),999999)</f>
        <v>75175.37</v>
      </c>
      <c r="Z206" s="87">
        <f t="shared" ref="Z206:Z213" si="171">Y206-K206</f>
        <v>0</v>
      </c>
      <c r="AA206" s="55" t="s">
        <v>271</v>
      </c>
      <c r="AB206" s="195">
        <f t="shared" si="135"/>
        <v>431</v>
      </c>
      <c r="AC206" s="195"/>
      <c r="AD206" s="193">
        <v>3251.0899999999965</v>
      </c>
      <c r="AE206" s="87">
        <f>_xlfn.IFNA(VLOOKUP(G206,[5]Rashodi!$B$172:$F$179,5,FALSE), 0)</f>
        <v>78426.460000000006</v>
      </c>
      <c r="AF206" s="194">
        <f t="shared" si="165"/>
        <v>-3251.09</v>
      </c>
    </row>
    <row r="207" spans="1:33" ht="20.100000000000001" customHeight="1" outlineLevel="1" x14ac:dyDescent="0.2">
      <c r="A207" s="30" t="s">
        <v>472</v>
      </c>
      <c r="B207" s="26" t="s">
        <v>331</v>
      </c>
      <c r="C207" s="30">
        <v>431</v>
      </c>
      <c r="D207" s="30" t="str">
        <f t="shared" si="168"/>
        <v>4</v>
      </c>
      <c r="E207" s="30" t="str">
        <f t="shared" si="169"/>
        <v>42</v>
      </c>
      <c r="F207" s="26" t="str">
        <f t="shared" si="170"/>
        <v>422</v>
      </c>
      <c r="G207" s="86" t="s">
        <v>272</v>
      </c>
      <c r="H207" s="86" t="s">
        <v>274</v>
      </c>
      <c r="I207" s="87">
        <f>_xlfn.IFNA(VLOOKUP(G207,'Posebni dio-programska_2024'!A$198:D$204,4,FALSE),999999)</f>
        <v>2731.21</v>
      </c>
      <c r="J207" s="87">
        <v>0</v>
      </c>
      <c r="K207" s="87"/>
      <c r="L207" s="87">
        <f t="shared" si="166"/>
        <v>0</v>
      </c>
      <c r="M207" s="87">
        <f t="shared" si="167"/>
        <v>0</v>
      </c>
      <c r="N207" s="31"/>
      <c r="S207" s="87"/>
      <c r="T207" s="87"/>
      <c r="U207" s="87">
        <f t="shared" si="161"/>
        <v>0</v>
      </c>
      <c r="Y207" s="87">
        <f>_xlfn.IFNA(VLOOKUP(G207,[4]IspisZahtjevaRviRazdobljaSumira!$A$210:$G$217,6,FALSE),999999)</f>
        <v>0</v>
      </c>
      <c r="Z207" s="87">
        <f t="shared" si="171"/>
        <v>0</v>
      </c>
      <c r="AA207" s="55" t="s">
        <v>273</v>
      </c>
      <c r="AB207" s="195">
        <f t="shared" si="135"/>
        <v>431</v>
      </c>
      <c r="AC207" s="195"/>
      <c r="AD207" s="87">
        <f t="shared" ref="AD207:AD213" si="172">U207</f>
        <v>0</v>
      </c>
      <c r="AE207" s="87">
        <f>_xlfn.IFNA(VLOOKUP(G207,[5]Rashodi!$B$172:$F$179,5,FALSE), 0)</f>
        <v>0</v>
      </c>
      <c r="AF207" s="194">
        <f t="shared" si="165"/>
        <v>0</v>
      </c>
    </row>
    <row r="208" spans="1:33" ht="20.100000000000001" customHeight="1" outlineLevel="1" x14ac:dyDescent="0.2">
      <c r="A208" s="30" t="s">
        <v>472</v>
      </c>
      <c r="B208" s="26" t="s">
        <v>331</v>
      </c>
      <c r="C208" s="30">
        <v>431</v>
      </c>
      <c r="D208" s="30" t="str">
        <f t="shared" si="168"/>
        <v>4</v>
      </c>
      <c r="E208" s="30" t="str">
        <f t="shared" si="169"/>
        <v>42</v>
      </c>
      <c r="F208" s="26" t="str">
        <f t="shared" si="170"/>
        <v>422</v>
      </c>
      <c r="G208" s="86" t="s">
        <v>30</v>
      </c>
      <c r="H208" s="86" t="s">
        <v>32</v>
      </c>
      <c r="I208" s="87">
        <f>_xlfn.IFNA(VLOOKUP(G208,'Posebni dio-programska_2024'!A$198:D$204,4,FALSE),999999)</f>
        <v>17380.04</v>
      </c>
      <c r="J208" s="87">
        <v>15000</v>
      </c>
      <c r="K208" s="87">
        <v>14600.54</v>
      </c>
      <c r="L208" s="87">
        <f t="shared" si="166"/>
        <v>84.007516668546216</v>
      </c>
      <c r="M208" s="87">
        <f t="shared" si="167"/>
        <v>97.336933333333349</v>
      </c>
      <c r="N208" s="31"/>
      <c r="S208" s="87">
        <v>14600.54</v>
      </c>
      <c r="T208" s="87">
        <v>14600.54</v>
      </c>
      <c r="U208" s="87">
        <f t="shared" si="161"/>
        <v>0</v>
      </c>
      <c r="Y208" s="87">
        <f>_xlfn.IFNA(VLOOKUP(G208,[4]IspisZahtjevaRviRazdobljaSumira!$A$210:$G$217,6,FALSE),999999)</f>
        <v>14600.54</v>
      </c>
      <c r="Z208" s="87">
        <f t="shared" si="171"/>
        <v>0</v>
      </c>
      <c r="AA208" s="55" t="s">
        <v>275</v>
      </c>
      <c r="AB208" s="195">
        <f t="shared" si="135"/>
        <v>431</v>
      </c>
      <c r="AC208" s="195"/>
      <c r="AD208" s="87">
        <f t="shared" si="172"/>
        <v>0</v>
      </c>
      <c r="AE208" s="87">
        <f>_xlfn.IFNA(VLOOKUP(G208,[5]Rashodi!$B$172:$F$179,5,FALSE), 0)</f>
        <v>14600.54</v>
      </c>
      <c r="AF208" s="194">
        <f t="shared" si="165"/>
        <v>0</v>
      </c>
    </row>
    <row r="209" spans="1:32" ht="20.100000000000001" customHeight="1" outlineLevel="1" x14ac:dyDescent="0.2">
      <c r="A209" s="30" t="s">
        <v>472</v>
      </c>
      <c r="B209" s="26" t="s">
        <v>331</v>
      </c>
      <c r="C209" s="30">
        <v>431</v>
      </c>
      <c r="D209" s="30" t="str">
        <f t="shared" si="168"/>
        <v>4</v>
      </c>
      <c r="E209" s="30" t="str">
        <f t="shared" si="169"/>
        <v>42</v>
      </c>
      <c r="F209" s="26" t="str">
        <f t="shared" si="170"/>
        <v>422</v>
      </c>
      <c r="G209" s="86" t="s">
        <v>276</v>
      </c>
      <c r="H209" s="86" t="s">
        <v>278</v>
      </c>
      <c r="I209" s="87">
        <f>_xlfn.IFNA(VLOOKUP(G209,'Posebni dio-programska_2024'!A$198:D$204,4,FALSE),999999)</f>
        <v>0</v>
      </c>
      <c r="J209" s="87">
        <v>0</v>
      </c>
      <c r="K209" s="87"/>
      <c r="L209" s="87">
        <f t="shared" si="166"/>
        <v>0</v>
      </c>
      <c r="M209" s="87">
        <f t="shared" si="167"/>
        <v>0</v>
      </c>
      <c r="N209" s="31"/>
      <c r="S209" s="87"/>
      <c r="T209" s="87"/>
      <c r="U209" s="87">
        <f t="shared" si="161"/>
        <v>0</v>
      </c>
      <c r="Y209" s="87">
        <f>_xlfn.IFNA(VLOOKUP(G209,[4]IspisZahtjevaRviRazdobljaSumira!$A$210:$G$217,6,FALSE),999999)</f>
        <v>0</v>
      </c>
      <c r="Z209" s="87">
        <f t="shared" si="171"/>
        <v>0</v>
      </c>
      <c r="AA209" s="55" t="s">
        <v>277</v>
      </c>
      <c r="AB209" s="195">
        <f t="shared" si="135"/>
        <v>431</v>
      </c>
      <c r="AC209" s="195"/>
      <c r="AD209" s="87">
        <f t="shared" si="172"/>
        <v>0</v>
      </c>
      <c r="AE209" s="87">
        <f>_xlfn.IFNA(VLOOKUP(G209,[5]Rashodi!$B$172:$F$179,5,FALSE), 0)</f>
        <v>0</v>
      </c>
      <c r="AF209" s="194">
        <f t="shared" si="165"/>
        <v>0</v>
      </c>
    </row>
    <row r="210" spans="1:32" ht="20.100000000000001" customHeight="1" outlineLevel="1" x14ac:dyDescent="0.2">
      <c r="A210" s="30" t="s">
        <v>472</v>
      </c>
      <c r="B210" s="26" t="s">
        <v>331</v>
      </c>
      <c r="C210" s="30">
        <v>431</v>
      </c>
      <c r="D210" s="30" t="str">
        <f t="shared" si="168"/>
        <v>4</v>
      </c>
      <c r="E210" s="30" t="str">
        <f t="shared" si="169"/>
        <v>42</v>
      </c>
      <c r="F210" s="26" t="str">
        <f t="shared" si="170"/>
        <v>423</v>
      </c>
      <c r="G210" s="86" t="s">
        <v>14</v>
      </c>
      <c r="H210" s="86" t="s">
        <v>16</v>
      </c>
      <c r="I210" s="87">
        <v>0</v>
      </c>
      <c r="J210" s="87">
        <v>1500</v>
      </c>
      <c r="K210" s="87">
        <v>1500</v>
      </c>
      <c r="L210" s="87">
        <f t="shared" si="166"/>
        <v>0</v>
      </c>
      <c r="M210" s="87">
        <f t="shared" si="167"/>
        <v>100</v>
      </c>
      <c r="N210" s="31"/>
      <c r="S210" s="87">
        <v>1500</v>
      </c>
      <c r="T210" s="87">
        <v>1500</v>
      </c>
      <c r="U210" s="87">
        <f t="shared" si="161"/>
        <v>0</v>
      </c>
      <c r="Y210" s="87">
        <f>_xlfn.IFNA(VLOOKUP(G210,[4]IspisZahtjevaRviRazdobljaSumira!$A$210:$G$217,6,FALSE),999999)</f>
        <v>1500</v>
      </c>
      <c r="Z210" s="87">
        <f t="shared" si="171"/>
        <v>0</v>
      </c>
      <c r="AA210" s="55" t="s">
        <v>15</v>
      </c>
      <c r="AB210" s="195">
        <f t="shared" si="135"/>
        <v>431</v>
      </c>
      <c r="AC210" s="195"/>
      <c r="AD210" s="87">
        <f t="shared" si="172"/>
        <v>0</v>
      </c>
      <c r="AE210" s="87">
        <f>_xlfn.IFNA(VLOOKUP(G210,[5]Rashodi!$B$172:$F$179,5,FALSE), 0)</f>
        <v>1500</v>
      </c>
      <c r="AF210" s="194">
        <f t="shared" si="165"/>
        <v>0</v>
      </c>
    </row>
    <row r="211" spans="1:32" ht="20.100000000000001" customHeight="1" outlineLevel="1" x14ac:dyDescent="0.2">
      <c r="A211" s="30" t="s">
        <v>472</v>
      </c>
      <c r="B211" s="26" t="s">
        <v>331</v>
      </c>
      <c r="C211" s="30">
        <v>431</v>
      </c>
      <c r="D211" s="30" t="str">
        <f t="shared" si="168"/>
        <v>4</v>
      </c>
      <c r="E211" s="30" t="str">
        <f t="shared" si="169"/>
        <v>42</v>
      </c>
      <c r="F211" s="26" t="str">
        <f t="shared" si="170"/>
        <v>424</v>
      </c>
      <c r="G211" s="86" t="s">
        <v>17</v>
      </c>
      <c r="H211" s="86" t="s">
        <v>19</v>
      </c>
      <c r="I211" s="87">
        <f>_xlfn.IFNA(VLOOKUP(G211,'Posebni dio-programska_2024'!A$198:D$204,4,FALSE),999999)</f>
        <v>2603.7199999999998</v>
      </c>
      <c r="J211" s="87">
        <v>0</v>
      </c>
      <c r="K211" s="87">
        <v>10.3</v>
      </c>
      <c r="L211" s="87">
        <f t="shared" si="166"/>
        <v>0.39558785122824269</v>
      </c>
      <c r="M211" s="87">
        <f t="shared" si="167"/>
        <v>0</v>
      </c>
      <c r="N211" s="31"/>
      <c r="S211" s="87">
        <f>10.3-10.3</f>
        <v>0</v>
      </c>
      <c r="T211" s="87">
        <v>10.3</v>
      </c>
      <c r="U211" s="87">
        <f t="shared" si="161"/>
        <v>0</v>
      </c>
      <c r="Y211" s="87">
        <f>_xlfn.IFNA(VLOOKUP(G211,[4]IspisZahtjevaRviRazdobljaSumira!$A$210:$G$217,6,FALSE),999999)</f>
        <v>10.3</v>
      </c>
      <c r="Z211" s="87">
        <f t="shared" si="171"/>
        <v>0</v>
      </c>
      <c r="AA211" s="55" t="s">
        <v>18</v>
      </c>
      <c r="AB211" s="195">
        <f t="shared" si="135"/>
        <v>431</v>
      </c>
      <c r="AC211" s="195"/>
      <c r="AD211" s="193">
        <v>-10.3</v>
      </c>
      <c r="AE211" s="87">
        <f>_xlfn.IFNA(VLOOKUP(G211,[5]Rashodi!$B$172:$F$179,5,FALSE), 0)</f>
        <v>-8.33</v>
      </c>
      <c r="AF211" s="194">
        <f t="shared" si="165"/>
        <v>10.3</v>
      </c>
    </row>
    <row r="212" spans="1:32" ht="20.100000000000001" customHeight="1" outlineLevel="1" x14ac:dyDescent="0.2">
      <c r="A212" s="30" t="s">
        <v>472</v>
      </c>
      <c r="B212" s="26" t="s">
        <v>331</v>
      </c>
      <c r="C212" s="30">
        <v>431</v>
      </c>
      <c r="D212" s="30" t="str">
        <f t="shared" si="168"/>
        <v>4</v>
      </c>
      <c r="E212" s="30" t="str">
        <f t="shared" si="169"/>
        <v>42</v>
      </c>
      <c r="F212" s="26" t="str">
        <f t="shared" si="170"/>
        <v>426</v>
      </c>
      <c r="G212" s="86" t="s">
        <v>20</v>
      </c>
      <c r="H212" s="86" t="s">
        <v>22</v>
      </c>
      <c r="I212" s="87">
        <f>_xlfn.IFNA(VLOOKUP(G212,'Posebni dio-programska_2024'!A$198:D$204,4,FALSE),999999)</f>
        <v>14040.28</v>
      </c>
      <c r="J212" s="87">
        <v>4500</v>
      </c>
      <c r="K212" s="87">
        <f>3063+145.98</f>
        <v>3208.98</v>
      </c>
      <c r="L212" s="87">
        <f t="shared" si="166"/>
        <v>22.855527097750187</v>
      </c>
      <c r="M212" s="87">
        <f t="shared" si="167"/>
        <v>71.310666666666663</v>
      </c>
      <c r="N212" s="31"/>
      <c r="R212" s="29" t="s">
        <v>555</v>
      </c>
      <c r="S212" s="87">
        <f>3063+145.98</f>
        <v>3208.98</v>
      </c>
      <c r="T212" s="87">
        <f>3063+145.98</f>
        <v>3208.98</v>
      </c>
      <c r="U212" s="87">
        <f t="shared" si="161"/>
        <v>0</v>
      </c>
      <c r="Y212" s="87">
        <f>_xlfn.IFNA(VLOOKUP(G212,[4]IspisZahtjevaRviRazdobljaSumira!$A$210:$G$217,6,FALSE),999999)</f>
        <v>3208.98</v>
      </c>
      <c r="Z212" s="87">
        <f t="shared" si="171"/>
        <v>0</v>
      </c>
      <c r="AA212" s="55" t="s">
        <v>21</v>
      </c>
      <c r="AB212" s="195">
        <f t="shared" si="135"/>
        <v>431</v>
      </c>
      <c r="AC212" s="195"/>
      <c r="AD212" s="87">
        <f t="shared" si="172"/>
        <v>0</v>
      </c>
      <c r="AE212" s="87">
        <f>_xlfn.IFNA(VLOOKUP(G212,[5]Rashodi!$B$172:$F$179,5,FALSE), 0)</f>
        <v>3208.98</v>
      </c>
      <c r="AF212" s="194">
        <f t="shared" si="165"/>
        <v>0</v>
      </c>
    </row>
    <row r="213" spans="1:32" ht="20.100000000000001" customHeight="1" outlineLevel="1" x14ac:dyDescent="0.2">
      <c r="A213" s="30" t="s">
        <v>472</v>
      </c>
      <c r="B213" s="26" t="s">
        <v>331</v>
      </c>
      <c r="C213" s="30">
        <v>431</v>
      </c>
      <c r="D213" s="30" t="str">
        <f t="shared" si="168"/>
        <v>4</v>
      </c>
      <c r="E213" s="30" t="str">
        <f t="shared" si="169"/>
        <v>45</v>
      </c>
      <c r="F213" s="26" t="str">
        <f t="shared" si="170"/>
        <v>451</v>
      </c>
      <c r="G213" s="86" t="s">
        <v>23</v>
      </c>
      <c r="H213" s="86" t="s">
        <v>25</v>
      </c>
      <c r="I213" s="87">
        <f>_xlfn.IFNA(VLOOKUP(G213,'Posebni dio-programska_2024'!A$198:D$204,4,FALSE),999999)</f>
        <v>57391.16</v>
      </c>
      <c r="J213" s="87">
        <v>0</v>
      </c>
      <c r="K213" s="87"/>
      <c r="L213" s="87">
        <f t="shared" si="166"/>
        <v>0</v>
      </c>
      <c r="M213" s="87">
        <f t="shared" si="167"/>
        <v>0</v>
      </c>
      <c r="N213" s="31" t="s">
        <v>347</v>
      </c>
      <c r="O213" s="25" t="s">
        <v>351</v>
      </c>
      <c r="P213" s="25" t="s">
        <v>348</v>
      </c>
      <c r="Q213" s="25" t="s">
        <v>349</v>
      </c>
      <c r="S213" s="87"/>
      <c r="T213" s="87"/>
      <c r="U213" s="87">
        <f t="shared" si="161"/>
        <v>0</v>
      </c>
      <c r="Y213" s="87">
        <f>_xlfn.IFNA(VLOOKUP(G213,[4]IspisZahtjevaRviRazdobljaSumira!$A$210:$G$217,6,FALSE),999999)</f>
        <v>0</v>
      </c>
      <c r="Z213" s="87">
        <f t="shared" si="171"/>
        <v>0</v>
      </c>
      <c r="AA213" s="55" t="s">
        <v>24</v>
      </c>
      <c r="AB213" s="195">
        <f t="shared" si="135"/>
        <v>431</v>
      </c>
      <c r="AC213" s="195"/>
      <c r="AD213" s="87">
        <f t="shared" si="172"/>
        <v>0</v>
      </c>
      <c r="AE213" s="87">
        <f>_xlfn.IFNA(VLOOKUP(G213,[5]Rashodi!$B$172:$F$179,5,FALSE), 0)</f>
        <v>0</v>
      </c>
      <c r="AF213" s="194">
        <f t="shared" si="165"/>
        <v>0</v>
      </c>
    </row>
    <row r="214" spans="1:32" ht="24.95" customHeight="1" x14ac:dyDescent="0.2">
      <c r="A214" s="30"/>
      <c r="G214" s="230" t="s">
        <v>26</v>
      </c>
      <c r="H214" s="230"/>
      <c r="I214" s="79">
        <f>SUMIFS(I215:I382,$B215:$B382,"K212401",$C215:$C382,"521")</f>
        <v>572451.29</v>
      </c>
      <c r="J214" s="79">
        <f>SUMIFS(J215:J382,$B215:$B382,"K212401",$C215:$C382,"521")</f>
        <v>548500</v>
      </c>
      <c r="K214" s="79">
        <f t="shared" ref="K214" si="173">SUMIFS(K215:K382,$B215:$B382,"K212401",$C215:$C382,"521")</f>
        <v>701678.55</v>
      </c>
      <c r="L214" s="79">
        <f t="shared" si="166"/>
        <v>122.57436785582227</v>
      </c>
      <c r="M214" s="79">
        <f t="shared" si="167"/>
        <v>127.92680948040109</v>
      </c>
      <c r="N214" s="25">
        <f>SUMIFS(N215:N382,$B215:$B382,"K212401",$C215:$C382,"521")</f>
        <v>342764.86</v>
      </c>
      <c r="O214" s="25">
        <f>SUMIFS(O215:O382,$B215:$B382,"K212401",$C215:$C382,"521")</f>
        <v>319999.93</v>
      </c>
      <c r="P214" s="25">
        <f>SUMIFS(P215:P382,$B215:$B382,"K212401",$C215:$C382,"521")</f>
        <v>25990.7</v>
      </c>
      <c r="Q214" s="25">
        <f>SUMIFS(Q215:Q382,$B215:$B382,"K212401",$C215:$C382,"521")</f>
        <v>12923.06</v>
      </c>
      <c r="R214" s="32"/>
      <c r="S214" s="79">
        <f t="shared" ref="S214" si="174">SUMIFS(S215:S382,$B215:$B382,"K212401",$C215:$C382,"521")</f>
        <v>701670.22000000009</v>
      </c>
      <c r="T214" s="79">
        <f t="shared" ref="T214:U214" si="175">SUMIFS(T215:T382,$B215:$B382,"K212401",$C215:$C382,"521")</f>
        <v>701678.55</v>
      </c>
      <c r="U214" s="79">
        <f t="shared" si="175"/>
        <v>0</v>
      </c>
      <c r="Y214" s="79">
        <f t="shared" ref="Y214:Z214" si="176">SUMIFS(Y215:Y382,$B215:$B382,"K212401",$C215:$C382,"521")</f>
        <v>701678.54999999993</v>
      </c>
      <c r="Z214" s="79">
        <f t="shared" si="176"/>
        <v>0</v>
      </c>
      <c r="AA214" s="55"/>
      <c r="AB214" s="195">
        <f t="shared" si="135"/>
        <v>0</v>
      </c>
      <c r="AC214" s="195"/>
      <c r="AD214" s="79">
        <f t="shared" ref="AD214:AE214" si="177">SUMIFS(AD215:AD382,$B215:$B382,"K212401",$C215:$C382,"521")</f>
        <v>0</v>
      </c>
      <c r="AE214" s="79">
        <f t="shared" si="177"/>
        <v>701678.54999999993</v>
      </c>
      <c r="AF214" s="194">
        <f t="shared" si="165"/>
        <v>0</v>
      </c>
    </row>
    <row r="215" spans="1:32" ht="20.100000000000001" customHeight="1" outlineLevel="1" x14ac:dyDescent="0.2">
      <c r="A215" s="30" t="s">
        <v>472</v>
      </c>
      <c r="B215" s="26" t="s">
        <v>331</v>
      </c>
      <c r="C215" s="30">
        <v>521</v>
      </c>
      <c r="D215" s="30" t="str">
        <f>LEFT(G215,1)</f>
        <v>4</v>
      </c>
      <c r="E215" s="30" t="str">
        <f>LEFT(G215,2)</f>
        <v>42</v>
      </c>
      <c r="F215" s="26" t="str">
        <f t="shared" si="170"/>
        <v>422</v>
      </c>
      <c r="G215" s="86" t="s">
        <v>27</v>
      </c>
      <c r="H215" s="86" t="s">
        <v>29</v>
      </c>
      <c r="I215" s="87">
        <f>_xlfn.IFNA(VLOOKUP(G215,'Posebni dio-programska_2024'!A$206:D$208,4,FALSE),999999)</f>
        <v>2768.06</v>
      </c>
      <c r="J215" s="87">
        <v>0</v>
      </c>
      <c r="K215" s="87">
        <f>N215+O215+P215+Q215</f>
        <v>221.98</v>
      </c>
      <c r="L215" s="87">
        <f t="shared" si="166"/>
        <v>8.0193348410077814</v>
      </c>
      <c r="M215" s="87">
        <f t="shared" si="167"/>
        <v>0</v>
      </c>
      <c r="N215" s="31">
        <v>221.98</v>
      </c>
      <c r="S215" s="87">
        <f>V215+W215+X215+Y215</f>
        <v>221.98</v>
      </c>
      <c r="T215" s="87">
        <v>221.98</v>
      </c>
      <c r="U215" s="87">
        <f t="shared" si="161"/>
        <v>0</v>
      </c>
      <c r="Y215" s="87">
        <f>_xlfn.IFNA(VLOOKUP(G215,[4]IspisZahtjevaRviRazdobljaSumira!$A$219:$G$221,6,FALSE),999999)</f>
        <v>221.98</v>
      </c>
      <c r="Z215" s="87">
        <f t="shared" ref="Z215:Z217" si="178">Y215-K215</f>
        <v>0</v>
      </c>
      <c r="AA215" s="55" t="s">
        <v>28</v>
      </c>
      <c r="AB215" s="195">
        <f t="shared" si="135"/>
        <v>521</v>
      </c>
      <c r="AC215" s="195"/>
      <c r="AD215" s="87">
        <f t="shared" ref="AD215:AD217" si="179">U215</f>
        <v>0</v>
      </c>
      <c r="AE215" s="87">
        <f>_xlfn.IFNA(VLOOKUP(G215,[5]Rashodi!$B$181:$F$183,5,FALSE), 0)</f>
        <v>221.98</v>
      </c>
      <c r="AF215" s="194">
        <f t="shared" si="165"/>
        <v>0</v>
      </c>
    </row>
    <row r="216" spans="1:32" ht="20.100000000000001" customHeight="1" outlineLevel="1" x14ac:dyDescent="0.2">
      <c r="A216" s="30" t="s">
        <v>472</v>
      </c>
      <c r="B216" s="26" t="s">
        <v>331</v>
      </c>
      <c r="C216" s="30">
        <v>521</v>
      </c>
      <c r="D216" s="30" t="str">
        <f>LEFT(G216,1)</f>
        <v>4</v>
      </c>
      <c r="E216" s="30" t="str">
        <f>LEFT(G216,2)</f>
        <v>42</v>
      </c>
      <c r="F216" s="26" t="str">
        <f t="shared" si="170"/>
        <v>422</v>
      </c>
      <c r="G216" s="86" t="s">
        <v>30</v>
      </c>
      <c r="H216" s="86" t="s">
        <v>32</v>
      </c>
      <c r="I216" s="87">
        <f>_xlfn.IFNA(VLOOKUP(G216,'Posebni dio-programska_2024'!A$206:D$208,4,FALSE),999999)</f>
        <v>1993</v>
      </c>
      <c r="J216" s="87">
        <v>0</v>
      </c>
      <c r="K216" s="87">
        <f>N216+O216+P216+Q216</f>
        <v>0</v>
      </c>
      <c r="L216" s="87">
        <f t="shared" si="166"/>
        <v>0</v>
      </c>
      <c r="M216" s="87">
        <f t="shared" si="167"/>
        <v>0</v>
      </c>
      <c r="N216" s="31"/>
      <c r="S216" s="87">
        <f>V216+W216+X216+Y216</f>
        <v>0</v>
      </c>
      <c r="T216" s="87">
        <v>0</v>
      </c>
      <c r="U216" s="87">
        <f t="shared" si="161"/>
        <v>0</v>
      </c>
      <c r="Y216" s="87">
        <f>_xlfn.IFNA(VLOOKUP(G216,[4]IspisZahtjevaRviRazdobljaSumira!$A$219:$G$221,6,FALSE),999999)</f>
        <v>0</v>
      </c>
      <c r="Z216" s="87">
        <f t="shared" si="178"/>
        <v>0</v>
      </c>
      <c r="AA216" s="55" t="s">
        <v>31</v>
      </c>
      <c r="AB216" s="195">
        <f t="shared" si="135"/>
        <v>521</v>
      </c>
      <c r="AC216" s="195"/>
      <c r="AD216" s="87">
        <f t="shared" si="179"/>
        <v>0</v>
      </c>
      <c r="AE216" s="87">
        <f>_xlfn.IFNA(VLOOKUP(G216,[5]Rashodi!$B$181:$F$183,5,FALSE), 0)</f>
        <v>0</v>
      </c>
      <c r="AF216" s="194">
        <f t="shared" si="165"/>
        <v>0</v>
      </c>
    </row>
    <row r="217" spans="1:32" ht="20.100000000000001" customHeight="1" outlineLevel="1" x14ac:dyDescent="0.2">
      <c r="A217" s="30" t="s">
        <v>472</v>
      </c>
      <c r="B217" s="26" t="s">
        <v>331</v>
      </c>
      <c r="C217" s="30">
        <v>521</v>
      </c>
      <c r="D217" s="30" t="str">
        <f>LEFT(G217,1)</f>
        <v>4</v>
      </c>
      <c r="E217" s="30" t="str">
        <f>LEFT(G217,2)</f>
        <v>42</v>
      </c>
      <c r="F217" s="26" t="str">
        <f t="shared" si="170"/>
        <v>424</v>
      </c>
      <c r="G217" s="86" t="s">
        <v>17</v>
      </c>
      <c r="H217" s="86" t="s">
        <v>19</v>
      </c>
      <c r="I217" s="87">
        <f>_xlfn.IFNA(VLOOKUP(G217,'Posebni dio-programska_2024'!A$206:D$208,4,FALSE),999999)</f>
        <v>567690.23</v>
      </c>
      <c r="J217" s="87">
        <v>548500</v>
      </c>
      <c r="K217" s="87">
        <f>N217+O217+P217+Q217</f>
        <v>701456.57000000007</v>
      </c>
      <c r="L217" s="87">
        <f t="shared" si="166"/>
        <v>123.56326266175131</v>
      </c>
      <c r="M217" s="87">
        <f t="shared" si="167"/>
        <v>127.88633910665452</v>
      </c>
      <c r="N217" s="31">
        <v>342542.88</v>
      </c>
      <c r="O217" s="25">
        <v>319999.93</v>
      </c>
      <c r="P217" s="25">
        <v>25990.7</v>
      </c>
      <c r="Q217" s="25">
        <v>12923.06</v>
      </c>
      <c r="S217" s="87">
        <f>K217-8.33</f>
        <v>701448.24000000011</v>
      </c>
      <c r="T217" s="87">
        <v>701456.57000000007</v>
      </c>
      <c r="U217" s="87">
        <f t="shared" si="161"/>
        <v>0</v>
      </c>
      <c r="Y217" s="87">
        <f>_xlfn.IFNA(VLOOKUP(G217,[4]IspisZahtjevaRviRazdobljaSumira!$A$219:$G$221,6,FALSE),999999)</f>
        <v>701456.57</v>
      </c>
      <c r="Z217" s="87">
        <f t="shared" si="178"/>
        <v>0</v>
      </c>
      <c r="AA217" s="55" t="s">
        <v>33</v>
      </c>
      <c r="AB217" s="195">
        <f t="shared" si="135"/>
        <v>521</v>
      </c>
      <c r="AC217" s="195"/>
      <c r="AD217" s="87">
        <f t="shared" si="179"/>
        <v>0</v>
      </c>
      <c r="AE217" s="87">
        <f>_xlfn.IFNA(VLOOKUP(G217,[5]Rashodi!$B$181:$F$183,5,FALSE), 0)</f>
        <v>701456.57</v>
      </c>
      <c r="AF217" s="194">
        <f t="shared" si="165"/>
        <v>0</v>
      </c>
    </row>
    <row r="218" spans="1:32" ht="24.95" customHeight="1" x14ac:dyDescent="0.2">
      <c r="A218" s="30"/>
      <c r="G218" s="230" t="s">
        <v>34</v>
      </c>
      <c r="H218" s="230"/>
      <c r="I218" s="79">
        <f>SUMIFS(I219:I386,$B219:$B386,"K212401",$C219:$C386,"541")</f>
        <v>419.98</v>
      </c>
      <c r="J218" s="79">
        <f>SUMIFS(J219:J386,$B219:$B386,"K212401",$C219:$C386,"541")</f>
        <v>800</v>
      </c>
      <c r="K218" s="79">
        <f t="shared" ref="K218" si="180">SUMIFS(K219:K386,$B219:$B386,"K212401",$C219:$C386,"541")</f>
        <v>2221.79</v>
      </c>
      <c r="L218" s="79">
        <f t="shared" si="166"/>
        <v>529.02281061002907</v>
      </c>
      <c r="M218" s="79">
        <f t="shared" si="167"/>
        <v>277.72375</v>
      </c>
      <c r="S218" s="79">
        <f t="shared" ref="S218" si="181">SUMIFS(S219:S386,$B219:$B386,"K212401",$C219:$C386,"541")</f>
        <v>2221.79</v>
      </c>
      <c r="T218" s="79">
        <f t="shared" ref="T218:U218" si="182">SUMIFS(T219:T386,$B219:$B386,"K212401",$C219:$C386,"541")</f>
        <v>2221.79</v>
      </c>
      <c r="U218" s="79">
        <f t="shared" si="182"/>
        <v>0</v>
      </c>
      <c r="Y218" s="79">
        <f t="shared" ref="Y218:Z218" si="183">SUMIFS(Y219:Y386,$B219:$B386,"K212401",$C219:$C386,"541")</f>
        <v>2221.79</v>
      </c>
      <c r="Z218" s="79">
        <f t="shared" si="183"/>
        <v>0</v>
      </c>
      <c r="AA218" s="55"/>
      <c r="AB218" s="195">
        <f t="shared" si="135"/>
        <v>0</v>
      </c>
      <c r="AC218" s="195"/>
      <c r="AD218" s="79">
        <f t="shared" ref="AD218:AE218" si="184">SUMIFS(AD219:AD386,$B219:$B386,"K212401",$C219:$C386,"541")</f>
        <v>0</v>
      </c>
      <c r="AE218" s="79">
        <f t="shared" si="184"/>
        <v>2221.79</v>
      </c>
      <c r="AF218" s="194">
        <f t="shared" si="165"/>
        <v>0</v>
      </c>
    </row>
    <row r="219" spans="1:32" ht="20.100000000000001" customHeight="1" outlineLevel="1" x14ac:dyDescent="0.2">
      <c r="A219" s="30" t="s">
        <v>472</v>
      </c>
      <c r="B219" s="26" t="s">
        <v>331</v>
      </c>
      <c r="C219" s="30">
        <v>541</v>
      </c>
      <c r="D219" s="30" t="str">
        <f>LEFT(G219,1)</f>
        <v>4</v>
      </c>
      <c r="E219" s="30" t="str">
        <f>LEFT(G219,2)</f>
        <v>42</v>
      </c>
      <c r="F219" s="26" t="str">
        <f t="shared" si="170"/>
        <v>422</v>
      </c>
      <c r="G219" s="86" t="s">
        <v>27</v>
      </c>
      <c r="H219" s="86" t="s">
        <v>29</v>
      </c>
      <c r="I219" s="87">
        <v>419.98</v>
      </c>
      <c r="J219" s="87">
        <v>800</v>
      </c>
      <c r="K219" s="87">
        <v>2221.79</v>
      </c>
      <c r="L219" s="87">
        <f t="shared" si="166"/>
        <v>529.02281061002907</v>
      </c>
      <c r="M219" s="87">
        <f t="shared" si="167"/>
        <v>277.72375</v>
      </c>
      <c r="N219" s="31"/>
      <c r="S219" s="87">
        <v>2221.79</v>
      </c>
      <c r="T219" s="87">
        <v>2221.79</v>
      </c>
      <c r="U219" s="87">
        <f t="shared" si="161"/>
        <v>0</v>
      </c>
      <c r="Y219" s="87">
        <f>_xlfn.IFNA(VLOOKUP(G219,[4]IspisZahtjevaRviRazdobljaSumira!$A$223:$G$224,6,FALSE),999999)</f>
        <v>2221.79</v>
      </c>
      <c r="Z219" s="87">
        <f t="shared" ref="Z219:Z221" si="185">Y219-K219</f>
        <v>0</v>
      </c>
      <c r="AA219" s="55" t="s">
        <v>35</v>
      </c>
      <c r="AB219" s="195">
        <f t="shared" si="135"/>
        <v>541</v>
      </c>
      <c r="AC219" s="195"/>
      <c r="AD219" s="87">
        <f t="shared" ref="AD219:AD221" si="186">U219</f>
        <v>0</v>
      </c>
      <c r="AE219" s="87">
        <f>_xlfn.IFNA(VLOOKUP(G219,[5]Rashodi!$B$185:$F$186,5,FALSE), 0)</f>
        <v>2221.79</v>
      </c>
      <c r="AF219" s="194">
        <f t="shared" si="165"/>
        <v>0</v>
      </c>
    </row>
    <row r="220" spans="1:32" ht="20.100000000000001" customHeight="1" outlineLevel="1" x14ac:dyDescent="0.2">
      <c r="A220" s="30" t="s">
        <v>472</v>
      </c>
      <c r="B220" s="26" t="s">
        <v>331</v>
      </c>
      <c r="C220" s="30">
        <v>541</v>
      </c>
      <c r="D220" s="30" t="str">
        <f>LEFT(G220,1)</f>
        <v>4</v>
      </c>
      <c r="E220" s="30" t="str">
        <f>LEFT(G220,2)</f>
        <v>42</v>
      </c>
      <c r="F220" s="26" t="str">
        <f t="shared" si="170"/>
        <v>424</v>
      </c>
      <c r="G220" s="86" t="s">
        <v>17</v>
      </c>
      <c r="H220" s="86" t="s">
        <v>19</v>
      </c>
      <c r="I220" s="87">
        <v>0</v>
      </c>
      <c r="J220" s="87">
        <v>0</v>
      </c>
      <c r="K220" s="87"/>
      <c r="L220" s="87">
        <f t="shared" si="166"/>
        <v>0</v>
      </c>
      <c r="M220" s="87">
        <f t="shared" si="167"/>
        <v>0</v>
      </c>
      <c r="N220" s="31"/>
      <c r="S220" s="87"/>
      <c r="T220" s="87"/>
      <c r="U220" s="87">
        <f t="shared" si="161"/>
        <v>0</v>
      </c>
      <c r="Y220" s="87">
        <f>_xlfn.IFNA(VLOOKUP(G220,[4]IspisZahtjevaRviRazdobljaSumira!$A$223:$G$224,6,FALSE),999999)</f>
        <v>0</v>
      </c>
      <c r="Z220" s="87">
        <f t="shared" si="185"/>
        <v>0</v>
      </c>
      <c r="AA220" s="55" t="s">
        <v>36</v>
      </c>
      <c r="AB220" s="195">
        <f t="shared" si="135"/>
        <v>541</v>
      </c>
      <c r="AC220" s="195"/>
      <c r="AD220" s="87">
        <f t="shared" si="186"/>
        <v>0</v>
      </c>
      <c r="AE220" s="87">
        <f>_xlfn.IFNA(VLOOKUP(G220,[5]Rashodi!$B$185:$F$186,5,FALSE), 0)</f>
        <v>0</v>
      </c>
      <c r="AF220" s="194">
        <f t="shared" si="165"/>
        <v>0</v>
      </c>
    </row>
    <row r="221" spans="1:32" ht="20.100000000000001" customHeight="1" outlineLevel="1" x14ac:dyDescent="0.2">
      <c r="A221" s="30" t="s">
        <v>472</v>
      </c>
      <c r="B221" s="26" t="s">
        <v>331</v>
      </c>
      <c r="C221" s="30">
        <v>541</v>
      </c>
      <c r="D221" s="30" t="str">
        <f>LEFT(G221,1)</f>
        <v>4</v>
      </c>
      <c r="E221" s="30" t="str">
        <f>LEFT(G221,2)</f>
        <v>42</v>
      </c>
      <c r="F221" s="26" t="str">
        <f t="shared" si="170"/>
        <v>426</v>
      </c>
      <c r="G221" s="95">
        <v>4262</v>
      </c>
      <c r="H221" s="86" t="s">
        <v>22</v>
      </c>
      <c r="I221" s="87">
        <v>0</v>
      </c>
      <c r="J221" s="87">
        <v>0</v>
      </c>
      <c r="K221" s="87">
        <f>145.98-145.98</f>
        <v>0</v>
      </c>
      <c r="L221" s="87">
        <f t="shared" si="166"/>
        <v>0</v>
      </c>
      <c r="M221" s="87">
        <f t="shared" si="167"/>
        <v>0</v>
      </c>
      <c r="N221" s="31"/>
      <c r="R221" s="29" t="s">
        <v>555</v>
      </c>
      <c r="S221" s="87">
        <f>145.98-145.98</f>
        <v>0</v>
      </c>
      <c r="T221" s="87">
        <f>145.98-145.98</f>
        <v>0</v>
      </c>
      <c r="U221" s="87">
        <f t="shared" si="161"/>
        <v>0</v>
      </c>
      <c r="Y221" s="87">
        <v>0</v>
      </c>
      <c r="Z221" s="87">
        <f t="shared" si="185"/>
        <v>0</v>
      </c>
      <c r="AA221" s="55"/>
      <c r="AB221" s="195">
        <f t="shared" si="135"/>
        <v>541</v>
      </c>
      <c r="AC221" s="195"/>
      <c r="AD221" s="87">
        <f t="shared" si="186"/>
        <v>0</v>
      </c>
      <c r="AE221" s="87">
        <f>_xlfn.IFNA(VLOOKUP(G221,[5]Rashodi!$B$185:$F$186,5,FALSE), 0)</f>
        <v>0</v>
      </c>
      <c r="AF221" s="194">
        <f t="shared" si="165"/>
        <v>0</v>
      </c>
    </row>
    <row r="222" spans="1:32" ht="24.95" customHeight="1" x14ac:dyDescent="0.2">
      <c r="A222" s="30"/>
      <c r="G222" s="230" t="s">
        <v>37</v>
      </c>
      <c r="H222" s="230"/>
      <c r="I222" s="79">
        <f>SUMIFS(I223:I389,$B223:$B389,"K212401",$C223:$C389,"571")</f>
        <v>0</v>
      </c>
      <c r="J222" s="79">
        <f>SUMIFS(J223:J389,$B223:$B389,"K212401",$C223:$C389,"571")</f>
        <v>0</v>
      </c>
      <c r="K222" s="79">
        <f t="shared" ref="K222" si="187">SUMIFS(K223:K389,$B223:$B389,"K212401",$C223:$C389,"571")</f>
        <v>0</v>
      </c>
      <c r="L222" s="79">
        <f t="shared" si="166"/>
        <v>0</v>
      </c>
      <c r="M222" s="79">
        <f t="shared" si="167"/>
        <v>0</v>
      </c>
      <c r="S222" s="79">
        <f t="shared" ref="S222" si="188">SUMIFS(S223:S389,$B223:$B389,"K212401",$C223:$C389,"571")</f>
        <v>0</v>
      </c>
      <c r="T222" s="79">
        <f t="shared" ref="T222:U222" si="189">SUMIFS(T223:T389,$B223:$B389,"K212401",$C223:$C389,"571")</f>
        <v>0</v>
      </c>
      <c r="U222" s="79">
        <f t="shared" si="189"/>
        <v>0</v>
      </c>
      <c r="Y222" s="79">
        <f t="shared" ref="Y222:Z222" si="190">SUMIFS(Y223:Y389,$B223:$B389,"K212401",$C223:$C389,"571")</f>
        <v>0</v>
      </c>
      <c r="Z222" s="79">
        <f t="shared" si="190"/>
        <v>0</v>
      </c>
      <c r="AA222" s="55"/>
      <c r="AB222" s="195">
        <f t="shared" si="135"/>
        <v>0</v>
      </c>
      <c r="AC222" s="195"/>
      <c r="AD222" s="79">
        <f t="shared" ref="AD222:AE222" si="191">SUMIFS(AD223:AD389,$B223:$B389,"K212401",$C223:$C389,"571")</f>
        <v>0</v>
      </c>
      <c r="AE222" s="79">
        <f t="shared" si="191"/>
        <v>0</v>
      </c>
      <c r="AF222" s="194">
        <f t="shared" si="165"/>
        <v>0</v>
      </c>
    </row>
    <row r="223" spans="1:32" ht="20.100000000000001" customHeight="1" outlineLevel="1" x14ac:dyDescent="0.2">
      <c r="A223" s="30" t="s">
        <v>472</v>
      </c>
      <c r="B223" s="26" t="s">
        <v>331</v>
      </c>
      <c r="C223" s="30">
        <v>571</v>
      </c>
      <c r="D223" s="30" t="str">
        <f>LEFT(G223,1)</f>
        <v>3</v>
      </c>
      <c r="E223" s="30" t="str">
        <f>LEFT(G223,2)</f>
        <v>32</v>
      </c>
      <c r="F223" s="26" t="str">
        <f t="shared" si="170"/>
        <v>323</v>
      </c>
      <c r="G223" s="86" t="s">
        <v>38</v>
      </c>
      <c r="H223" s="86" t="s">
        <v>40</v>
      </c>
      <c r="I223" s="87">
        <v>0</v>
      </c>
      <c r="J223" s="87">
        <v>0</v>
      </c>
      <c r="K223" s="87"/>
      <c r="L223" s="87">
        <f t="shared" si="166"/>
        <v>0</v>
      </c>
      <c r="M223" s="87">
        <f t="shared" si="167"/>
        <v>0</v>
      </c>
      <c r="N223" s="31"/>
      <c r="S223" s="87"/>
      <c r="T223" s="87"/>
      <c r="U223" s="87">
        <f t="shared" si="161"/>
        <v>0</v>
      </c>
      <c r="Y223" s="87">
        <f>_xlfn.IFNA(VLOOKUP(G223,[4]IspisZahtjevaRviRazdobljaSumira!$A$226:$G$228,6,FALSE),999999)</f>
        <v>0</v>
      </c>
      <c r="Z223" s="87">
        <f t="shared" ref="Z223:Z225" si="192">Y223-K223</f>
        <v>0</v>
      </c>
      <c r="AA223" s="55" t="s">
        <v>39</v>
      </c>
      <c r="AB223" s="195">
        <f t="shared" si="135"/>
        <v>571</v>
      </c>
      <c r="AC223" s="195"/>
      <c r="AD223" s="87">
        <f t="shared" ref="AD223:AD225" si="193">U223</f>
        <v>0</v>
      </c>
      <c r="AE223" s="87">
        <v>0</v>
      </c>
      <c r="AF223" s="194">
        <f t="shared" si="165"/>
        <v>0</v>
      </c>
    </row>
    <row r="224" spans="1:32" ht="20.100000000000001" customHeight="1" outlineLevel="1" x14ac:dyDescent="0.2">
      <c r="A224" s="30" t="s">
        <v>472</v>
      </c>
      <c r="B224" s="26" t="s">
        <v>331</v>
      </c>
      <c r="C224" s="30">
        <v>571</v>
      </c>
      <c r="D224" s="30" t="str">
        <f>LEFT(G224,1)</f>
        <v>3</v>
      </c>
      <c r="E224" s="30" t="str">
        <f>LEFT(G224,2)</f>
        <v>32</v>
      </c>
      <c r="F224" s="26" t="str">
        <f t="shared" si="170"/>
        <v>323</v>
      </c>
      <c r="G224" s="86" t="s">
        <v>41</v>
      </c>
      <c r="H224" s="86" t="s">
        <v>43</v>
      </c>
      <c r="I224" s="87">
        <v>0</v>
      </c>
      <c r="J224" s="87">
        <v>0</v>
      </c>
      <c r="K224" s="87"/>
      <c r="L224" s="87">
        <f t="shared" si="166"/>
        <v>0</v>
      </c>
      <c r="M224" s="87">
        <f t="shared" si="167"/>
        <v>0</v>
      </c>
      <c r="N224" s="31"/>
      <c r="S224" s="87"/>
      <c r="T224" s="87"/>
      <c r="U224" s="87">
        <f t="shared" si="161"/>
        <v>0</v>
      </c>
      <c r="Y224" s="87">
        <f>_xlfn.IFNA(VLOOKUP(G224,[4]IspisZahtjevaRviRazdobljaSumira!$A$226:$G$228,6,FALSE),999999)</f>
        <v>0</v>
      </c>
      <c r="Z224" s="87">
        <f t="shared" si="192"/>
        <v>0</v>
      </c>
      <c r="AA224" s="55" t="s">
        <v>42</v>
      </c>
      <c r="AB224" s="195">
        <f t="shared" si="135"/>
        <v>571</v>
      </c>
      <c r="AC224" s="195"/>
      <c r="AD224" s="87">
        <f t="shared" si="193"/>
        <v>0</v>
      </c>
      <c r="AE224" s="87">
        <v>0</v>
      </c>
      <c r="AF224" s="194">
        <f t="shared" si="165"/>
        <v>0</v>
      </c>
    </row>
    <row r="225" spans="1:33" ht="20.100000000000001" customHeight="1" outlineLevel="1" x14ac:dyDescent="0.2">
      <c r="A225" s="30" t="s">
        <v>472</v>
      </c>
      <c r="B225" s="26" t="s">
        <v>331</v>
      </c>
      <c r="C225" s="30">
        <v>571</v>
      </c>
      <c r="D225" s="30" t="str">
        <f>LEFT(G225,1)</f>
        <v>4</v>
      </c>
      <c r="E225" s="30" t="str">
        <f>LEFT(G225,2)</f>
        <v>45</v>
      </c>
      <c r="F225" s="26" t="str">
        <f t="shared" si="170"/>
        <v>451</v>
      </c>
      <c r="G225" s="86" t="s">
        <v>23</v>
      </c>
      <c r="H225" s="86" t="s">
        <v>25</v>
      </c>
      <c r="I225" s="87">
        <v>0</v>
      </c>
      <c r="J225" s="87">
        <v>0</v>
      </c>
      <c r="K225" s="87"/>
      <c r="L225" s="87">
        <f t="shared" si="166"/>
        <v>0</v>
      </c>
      <c r="M225" s="87">
        <f t="shared" si="167"/>
        <v>0</v>
      </c>
      <c r="N225" s="31" t="s">
        <v>352</v>
      </c>
      <c r="O225" s="25">
        <v>614</v>
      </c>
      <c r="S225" s="87"/>
      <c r="T225" s="87"/>
      <c r="U225" s="87">
        <f t="shared" si="161"/>
        <v>0</v>
      </c>
      <c r="Y225" s="87">
        <f>_xlfn.IFNA(VLOOKUP(G225,[4]IspisZahtjevaRviRazdobljaSumira!$A$226:$G$228,6,FALSE),999999)</f>
        <v>0</v>
      </c>
      <c r="Z225" s="87">
        <f t="shared" si="192"/>
        <v>0</v>
      </c>
      <c r="AA225" s="55" t="s">
        <v>44</v>
      </c>
      <c r="AB225" s="195">
        <f t="shared" si="135"/>
        <v>571</v>
      </c>
      <c r="AC225" s="195"/>
      <c r="AD225" s="87">
        <f t="shared" si="193"/>
        <v>0</v>
      </c>
      <c r="AE225" s="87">
        <v>0</v>
      </c>
      <c r="AF225" s="194">
        <f t="shared" si="165"/>
        <v>0</v>
      </c>
    </row>
    <row r="226" spans="1:33" ht="24.95" customHeight="1" x14ac:dyDescent="0.2">
      <c r="A226" s="30"/>
      <c r="G226" s="230" t="s">
        <v>45</v>
      </c>
      <c r="H226" s="230"/>
      <c r="I226" s="79">
        <f>SUMIFS(I227:I393,$B227:$B393,"K212401",$C227:$C393,"611")</f>
        <v>105050.08</v>
      </c>
      <c r="J226" s="79">
        <f>SUMIFS(J227:J393,$B227:$B393,"K212401",$C227:$C393,"611")</f>
        <v>100000</v>
      </c>
      <c r="K226" s="79">
        <f t="shared" ref="K226" si="194">SUMIFS(K227:K393,$B227:$B393,"K212401",$C227:$C393,"611")</f>
        <v>94041.19</v>
      </c>
      <c r="L226" s="79">
        <f t="shared" si="166"/>
        <v>89.520341155380365</v>
      </c>
      <c r="M226" s="79">
        <f t="shared" si="167"/>
        <v>94.041190000000014</v>
      </c>
      <c r="N226" s="25">
        <f>SUMIFS(N227:N393,$B227:$B393,"K212401",$C227:$C393,"611")</f>
        <v>149</v>
      </c>
      <c r="O226" s="25">
        <f>SUMIFS(O227:O393,$B227:$B393,"K212401",$C227:$C393,"611")</f>
        <v>93892.19</v>
      </c>
      <c r="S226" s="79">
        <f t="shared" ref="S226" si="195">SUMIFS(S227:S393,$B227:$B393,"K212401",$C227:$C393,"611")</f>
        <v>94041.19</v>
      </c>
      <c r="T226" s="79">
        <f t="shared" ref="T226:U226" si="196">SUMIFS(T227:T393,$B227:$B393,"K212401",$C227:$C393,"611")</f>
        <v>94041.19</v>
      </c>
      <c r="U226" s="79">
        <f t="shared" si="196"/>
        <v>0</v>
      </c>
      <c r="Y226" s="79">
        <f t="shared" ref="Y226:Z226" si="197">SUMIFS(Y227:Y393,$B227:$B393,"K212401",$C227:$C393,"611")</f>
        <v>94041.19</v>
      </c>
      <c r="Z226" s="79">
        <f t="shared" si="197"/>
        <v>0</v>
      </c>
      <c r="AA226" s="55"/>
      <c r="AB226" s="195">
        <f t="shared" si="135"/>
        <v>0</v>
      </c>
      <c r="AC226" s="195"/>
      <c r="AD226" s="79">
        <f t="shared" ref="AD226:AE226" si="198">SUMIFS(AD227:AD393,$B227:$B393,"K212401",$C227:$C393,"611")</f>
        <v>-8.33</v>
      </c>
      <c r="AE226" s="79">
        <f t="shared" si="198"/>
        <v>94041.19</v>
      </c>
      <c r="AF226" s="194">
        <f t="shared" si="165"/>
        <v>8.33</v>
      </c>
      <c r="AG226" s="79">
        <f>SUBTOTAL(9,AD228:AD228)</f>
        <v>-8.33</v>
      </c>
    </row>
    <row r="227" spans="1:33" ht="20.100000000000001" customHeight="1" outlineLevel="1" x14ac:dyDescent="0.2">
      <c r="A227" s="30" t="s">
        <v>472</v>
      </c>
      <c r="B227" s="26" t="s">
        <v>331</v>
      </c>
      <c r="C227" s="30">
        <v>611</v>
      </c>
      <c r="D227" s="30" t="str">
        <f>LEFT(G227,1)</f>
        <v>4</v>
      </c>
      <c r="E227" s="30" t="str">
        <f>LEFT(G227,2)</f>
        <v>42</v>
      </c>
      <c r="F227" s="26" t="str">
        <f t="shared" si="170"/>
        <v>422</v>
      </c>
      <c r="G227" s="86" t="s">
        <v>27</v>
      </c>
      <c r="H227" s="86" t="s">
        <v>29</v>
      </c>
      <c r="I227" s="87">
        <v>0</v>
      </c>
      <c r="J227" s="87">
        <v>0</v>
      </c>
      <c r="K227" s="87">
        <f>N227+O227</f>
        <v>149</v>
      </c>
      <c r="L227" s="87">
        <f t="shared" si="166"/>
        <v>0</v>
      </c>
      <c r="M227" s="87">
        <f t="shared" si="167"/>
        <v>0</v>
      </c>
      <c r="N227" s="31">
        <v>149</v>
      </c>
      <c r="S227" s="87">
        <f>K227</f>
        <v>149</v>
      </c>
      <c r="T227" s="87">
        <v>149</v>
      </c>
      <c r="U227" s="87">
        <f t="shared" si="161"/>
        <v>0</v>
      </c>
      <c r="Y227" s="87">
        <f>_xlfn.IFNA(VLOOKUP(G227,[4]IspisZahtjevaRviRazdobljaSumira!$A$230:$G$231,6,FALSE),999999)</f>
        <v>149</v>
      </c>
      <c r="Z227" s="87">
        <f t="shared" ref="Z227:Z228" si="199">Y227-K227</f>
        <v>0</v>
      </c>
      <c r="AA227" s="55" t="s">
        <v>46</v>
      </c>
      <c r="AB227" s="195">
        <f t="shared" si="135"/>
        <v>611</v>
      </c>
      <c r="AC227" s="195"/>
      <c r="AD227" s="87">
        <f t="shared" ref="AD227" si="200">U227</f>
        <v>0</v>
      </c>
      <c r="AE227" s="87">
        <f>_xlfn.IFNA(VLOOKUP(G227,[5]Rashodi!$B$192:$F$193,5,FALSE), 0)</f>
        <v>149</v>
      </c>
      <c r="AF227" s="194">
        <f t="shared" si="165"/>
        <v>0</v>
      </c>
    </row>
    <row r="228" spans="1:33" ht="20.100000000000001" customHeight="1" outlineLevel="1" x14ac:dyDescent="0.2">
      <c r="A228" s="30" t="s">
        <v>472</v>
      </c>
      <c r="B228" s="26" t="s">
        <v>331</v>
      </c>
      <c r="C228" s="30">
        <v>611</v>
      </c>
      <c r="D228" s="30" t="str">
        <f>LEFT(G228,1)</f>
        <v>4</v>
      </c>
      <c r="E228" s="30" t="str">
        <f>LEFT(G228,2)</f>
        <v>42</v>
      </c>
      <c r="F228" s="26" t="str">
        <f t="shared" si="170"/>
        <v>424</v>
      </c>
      <c r="G228" s="86" t="s">
        <v>17</v>
      </c>
      <c r="H228" s="86" t="s">
        <v>19</v>
      </c>
      <c r="I228" s="87">
        <v>105050.08</v>
      </c>
      <c r="J228" s="87">
        <v>100000</v>
      </c>
      <c r="K228" s="87">
        <f>N228+O228</f>
        <v>93892.19</v>
      </c>
      <c r="L228" s="87">
        <f t="shared" si="166"/>
        <v>89.378504043024051</v>
      </c>
      <c r="M228" s="87">
        <f t="shared" si="167"/>
        <v>93.892189999999999</v>
      </c>
      <c r="N228" s="31"/>
      <c r="O228" s="25">
        <v>93892.19</v>
      </c>
      <c r="S228" s="87">
        <f>K228</f>
        <v>93892.19</v>
      </c>
      <c r="T228" s="87">
        <v>93892.19</v>
      </c>
      <c r="U228" s="87">
        <f t="shared" si="161"/>
        <v>0</v>
      </c>
      <c r="Y228" s="87">
        <f>_xlfn.IFNA(VLOOKUP(G228,[4]IspisZahtjevaRviRazdobljaSumira!$A$230:$G$231,6,FALSE),999999)</f>
        <v>93892.19</v>
      </c>
      <c r="Z228" s="87">
        <f t="shared" si="199"/>
        <v>0</v>
      </c>
      <c r="AA228" s="55" t="s">
        <v>47</v>
      </c>
      <c r="AB228" s="195">
        <f t="shared" si="135"/>
        <v>611</v>
      </c>
      <c r="AC228" s="195"/>
      <c r="AD228" s="193">
        <v>-8.33</v>
      </c>
      <c r="AE228" s="87">
        <f>_xlfn.IFNA(VLOOKUP(G228,[5]Rashodi!$B$192:$F$193,5,FALSE), 0)</f>
        <v>93892.19</v>
      </c>
      <c r="AF228" s="194">
        <f t="shared" si="165"/>
        <v>8.33</v>
      </c>
    </row>
    <row r="229" spans="1:33" ht="24.95" customHeight="1" x14ac:dyDescent="0.2">
      <c r="A229" s="30"/>
      <c r="G229" s="230" t="s">
        <v>48</v>
      </c>
      <c r="H229" s="230"/>
      <c r="I229" s="79">
        <f>SUMIFS(I230:I396,$B230:$B396,"K212401",$C230:$C396,"711")</f>
        <v>0</v>
      </c>
      <c r="J229" s="79">
        <f>SUMIFS(J230:J396,$B230:$B396,"K212401",$C230:$C396,"711")</f>
        <v>1300</v>
      </c>
      <c r="K229" s="79">
        <f t="shared" ref="K229" si="201">SUMIFS(K230:K396,$B230:$B396,"K212401",$C230:$C396,"711")</f>
        <v>0</v>
      </c>
      <c r="L229" s="79">
        <f t="shared" si="166"/>
        <v>0</v>
      </c>
      <c r="M229" s="79">
        <f t="shared" si="167"/>
        <v>0</v>
      </c>
      <c r="S229" s="79">
        <f t="shared" ref="S229" si="202">SUMIFS(S230:S396,$B230:$B396,"K212401",$C230:$C396,"711")</f>
        <v>0</v>
      </c>
      <c r="T229" s="79">
        <f t="shared" ref="T229:U229" si="203">SUMIFS(T230:T396,$B230:$B396,"K212401",$C230:$C396,"711")</f>
        <v>0</v>
      </c>
      <c r="U229" s="79">
        <f t="shared" si="203"/>
        <v>0</v>
      </c>
      <c r="Y229" s="79">
        <f t="shared" ref="Y229:Z229" si="204">SUMIFS(Y230:Y396,$B230:$B396,"K212401",$C230:$C396,"711")</f>
        <v>0</v>
      </c>
      <c r="Z229" s="79">
        <f t="shared" si="204"/>
        <v>0</v>
      </c>
      <c r="AA229" s="55"/>
      <c r="AB229" s="195">
        <f t="shared" si="135"/>
        <v>0</v>
      </c>
      <c r="AC229" s="195"/>
      <c r="AD229" s="79">
        <f t="shared" ref="AD229:AE229" si="205">SUMIFS(AD230:AD396,$B230:$B396,"K212401",$C230:$C396,"711")</f>
        <v>0</v>
      </c>
      <c r="AE229" s="79">
        <f t="shared" si="205"/>
        <v>0</v>
      </c>
      <c r="AF229" s="194">
        <f t="shared" si="165"/>
        <v>0</v>
      </c>
    </row>
    <row r="230" spans="1:33" ht="20.100000000000001" customHeight="1" outlineLevel="1" thickBot="1" x14ac:dyDescent="0.25">
      <c r="A230" s="30" t="s">
        <v>472</v>
      </c>
      <c r="B230" s="26" t="s">
        <v>331</v>
      </c>
      <c r="C230" s="30">
        <v>711</v>
      </c>
      <c r="D230" s="30" t="str">
        <f>LEFT(G230,1)</f>
        <v>4</v>
      </c>
      <c r="E230" s="30" t="str">
        <f>LEFT(G230,2)</f>
        <v>42</v>
      </c>
      <c r="F230" s="26" t="str">
        <f t="shared" si="170"/>
        <v>422</v>
      </c>
      <c r="G230" s="86" t="s">
        <v>27</v>
      </c>
      <c r="H230" s="86" t="s">
        <v>29</v>
      </c>
      <c r="I230" s="87">
        <v>0</v>
      </c>
      <c r="J230" s="87">
        <v>1300</v>
      </c>
      <c r="K230" s="87"/>
      <c r="L230" s="87">
        <f t="shared" si="166"/>
        <v>0</v>
      </c>
      <c r="M230" s="87">
        <f t="shared" si="167"/>
        <v>0</v>
      </c>
      <c r="N230" s="31"/>
      <c r="S230" s="87"/>
      <c r="T230" s="87"/>
      <c r="U230" s="87"/>
      <c r="Y230" s="87"/>
      <c r="Z230" s="87"/>
      <c r="AA230" s="55" t="s">
        <v>49</v>
      </c>
      <c r="AB230" s="195">
        <f t="shared" si="135"/>
        <v>711</v>
      </c>
      <c r="AC230" s="195"/>
      <c r="AD230" s="87">
        <f>U230</f>
        <v>0</v>
      </c>
      <c r="AE230" s="87">
        <v>0</v>
      </c>
      <c r="AF230" s="194">
        <f t="shared" si="165"/>
        <v>0</v>
      </c>
    </row>
    <row r="231" spans="1:33" ht="35.1" customHeight="1" thickBot="1" x14ac:dyDescent="0.25">
      <c r="G231" s="225" t="s">
        <v>344</v>
      </c>
      <c r="H231" s="225"/>
      <c r="I231" s="82"/>
      <c r="J231" s="82"/>
      <c r="K231" s="82"/>
      <c r="L231" s="82"/>
      <c r="M231" s="82"/>
      <c r="S231" s="82"/>
      <c r="T231" s="82"/>
      <c r="U231" s="82"/>
      <c r="Y231" s="82"/>
      <c r="Z231" s="82"/>
      <c r="AD231" s="82"/>
      <c r="AE231" s="82"/>
    </row>
  </sheetData>
  <autoFilter ref="G38:AF231"/>
  <mergeCells count="40">
    <mergeCell ref="AE1:AE3"/>
    <mergeCell ref="G16:H16"/>
    <mergeCell ref="G1:J1"/>
    <mergeCell ref="G2:M2"/>
    <mergeCell ref="G6:H6"/>
    <mergeCell ref="G7:H7"/>
    <mergeCell ref="G10:H10"/>
    <mergeCell ref="G92:H92"/>
    <mergeCell ref="G19:H19"/>
    <mergeCell ref="G22:H22"/>
    <mergeCell ref="G26:H26"/>
    <mergeCell ref="G29:H29"/>
    <mergeCell ref="G31:H31"/>
    <mergeCell ref="G33:H33"/>
    <mergeCell ref="G35:H35"/>
    <mergeCell ref="G36:H36"/>
    <mergeCell ref="G37:H37"/>
    <mergeCell ref="G63:H63"/>
    <mergeCell ref="G65:H65"/>
    <mergeCell ref="G193:H193"/>
    <mergeCell ref="G121:H121"/>
    <mergeCell ref="G127:H127"/>
    <mergeCell ref="G135:H135"/>
    <mergeCell ref="G137:H137"/>
    <mergeCell ref="G138:H138"/>
    <mergeCell ref="G150:H150"/>
    <mergeCell ref="G163:H163"/>
    <mergeCell ref="G181:H181"/>
    <mergeCell ref="G189:H189"/>
    <mergeCell ref="G190:H190"/>
    <mergeCell ref="G192:H192"/>
    <mergeCell ref="G226:H226"/>
    <mergeCell ref="G229:H229"/>
    <mergeCell ref="G231:H231"/>
    <mergeCell ref="G196:H196"/>
    <mergeCell ref="G197:H197"/>
    <mergeCell ref="G205:H205"/>
    <mergeCell ref="G214:H214"/>
    <mergeCell ref="G218:H218"/>
    <mergeCell ref="G222:H222"/>
  </mergeCells>
  <pageMargins left="0.39370078740157483" right="0.39370078740157483" top="0.59055118110236227" bottom="0.59055118110236227" header="0" footer="0"/>
  <pageSetup paperSize="9" scale="82" orientation="portrait" r:id="rId1"/>
  <headerFooter alignWithMargins="0">
    <oddHeader>&amp;L&amp;"Arial,Bold"&amp;K04-023KNJIŽNICE GRADA ZAGREBA
STARČEVIĆEV TRG 6
OIB: 93571946376</oddHeader>
    <oddFooter xml:space="preserve">&amp;L&amp;"Arial"&amp;8 Lista: LCW147TREW &amp;C&amp;"Arial"&amp;8 Stranica 
&amp;B&amp;P&amp;B &amp;R&amp;"Arial"&amp;8 * OBRADA LC *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9"/>
  <sheetViews>
    <sheetView workbookViewId="0">
      <selection activeCell="G5" sqref="G5"/>
    </sheetView>
  </sheetViews>
  <sheetFormatPr defaultColWidth="8.7109375" defaultRowHeight="20.100000000000001" customHeight="1" x14ac:dyDescent="0.2"/>
  <cols>
    <col min="1" max="2" width="8.7109375" style="197"/>
    <col min="3" max="5" width="15.5703125" style="197" customWidth="1"/>
    <col min="6" max="16384" width="8.7109375" style="197"/>
  </cols>
  <sheetData>
    <row r="4" spans="1:5" ht="39.950000000000003" customHeight="1" x14ac:dyDescent="0.2">
      <c r="A4" s="196" t="s">
        <v>345</v>
      </c>
      <c r="B4" s="196" t="s">
        <v>498</v>
      </c>
      <c r="C4" s="196" t="s">
        <v>567</v>
      </c>
      <c r="D4" s="196" t="s">
        <v>568</v>
      </c>
      <c r="E4" s="196" t="s">
        <v>569</v>
      </c>
    </row>
    <row r="5" spans="1:5" ht="20.100000000000001" customHeight="1" x14ac:dyDescent="0.2">
      <c r="A5" s="202">
        <v>521</v>
      </c>
      <c r="B5" s="202">
        <v>3212</v>
      </c>
      <c r="C5" s="199" t="s">
        <v>170</v>
      </c>
      <c r="D5" s="205">
        <v>12083.18</v>
      </c>
      <c r="E5" s="205">
        <v>0</v>
      </c>
    </row>
    <row r="6" spans="1:5" ht="20.100000000000001" customHeight="1" x14ac:dyDescent="0.2">
      <c r="A6" s="203">
        <v>431</v>
      </c>
      <c r="B6" s="203">
        <v>3212</v>
      </c>
      <c r="C6" s="200" t="s">
        <v>563</v>
      </c>
      <c r="D6" s="206">
        <v>9.4499999999999993</v>
      </c>
      <c r="E6" s="206">
        <f>D6+D5</f>
        <v>12092.630000000001</v>
      </c>
    </row>
    <row r="7" spans="1:5" ht="20.100000000000001" customHeight="1" x14ac:dyDescent="0.2">
      <c r="A7" s="203">
        <v>521</v>
      </c>
      <c r="B7" s="203">
        <v>3223</v>
      </c>
      <c r="C7" s="94" t="s">
        <v>177</v>
      </c>
      <c r="D7" s="206">
        <v>10.67</v>
      </c>
      <c r="E7" s="206">
        <v>0</v>
      </c>
    </row>
    <row r="8" spans="1:5" ht="20.100000000000001" customHeight="1" x14ac:dyDescent="0.2">
      <c r="A8" s="204">
        <v>431</v>
      </c>
      <c r="B8" s="204">
        <v>3223</v>
      </c>
      <c r="C8" s="201" t="s">
        <v>564</v>
      </c>
      <c r="D8" s="207">
        <v>4.59</v>
      </c>
      <c r="E8" s="207">
        <f>D8+D7</f>
        <v>15.26</v>
      </c>
    </row>
    <row r="9" spans="1:5" ht="39.950000000000003" customHeight="1" x14ac:dyDescent="0.2">
      <c r="A9" s="196"/>
      <c r="B9" s="196"/>
      <c r="C9" s="196"/>
      <c r="D9" s="198">
        <f>SUM(D5:D8)</f>
        <v>12107.890000000001</v>
      </c>
      <c r="E9" s="198">
        <f>SUM(E5:E8)</f>
        <v>12107.890000000001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27"/>
  <sheetViews>
    <sheetView workbookViewId="0">
      <selection activeCell="G5" sqref="G5"/>
    </sheetView>
  </sheetViews>
  <sheetFormatPr defaultColWidth="9.140625" defaultRowHeight="20.100000000000001" customHeight="1" x14ac:dyDescent="0.2"/>
  <cols>
    <col min="1" max="4" width="9.140625" style="25"/>
    <col min="5" max="5" width="13.7109375" style="25" customWidth="1"/>
    <col min="6" max="7" width="9.140625" style="25"/>
    <col min="8" max="8" width="10" style="25" bestFit="1" customWidth="1"/>
    <col min="9" max="16384" width="9.140625" style="25"/>
  </cols>
  <sheetData>
    <row r="4" spans="2:8" ht="39.950000000000003" customHeight="1" x14ac:dyDescent="0.2">
      <c r="B4" s="183" t="s">
        <v>553</v>
      </c>
      <c r="C4" s="183" t="s">
        <v>345</v>
      </c>
      <c r="D4" s="183" t="s">
        <v>498</v>
      </c>
      <c r="E4" s="183" t="s">
        <v>346</v>
      </c>
      <c r="F4" s="36" t="s">
        <v>554</v>
      </c>
    </row>
    <row r="5" spans="2:8" ht="20.100000000000001" customHeight="1" x14ac:dyDescent="0.2">
      <c r="B5" s="184">
        <v>201</v>
      </c>
      <c r="C5" s="184">
        <v>112</v>
      </c>
      <c r="D5" s="184">
        <v>3213</v>
      </c>
      <c r="E5" s="185">
        <v>40</v>
      </c>
      <c r="F5" s="31">
        <f>E5</f>
        <v>40</v>
      </c>
    </row>
    <row r="6" spans="2:8" ht="20.100000000000001" customHeight="1" x14ac:dyDescent="0.2">
      <c r="B6" s="184">
        <v>201</v>
      </c>
      <c r="C6" s="184">
        <v>112</v>
      </c>
      <c r="D6" s="184">
        <v>3213</v>
      </c>
      <c r="E6" s="185">
        <v>571.75</v>
      </c>
      <c r="F6" s="31">
        <f>F5+E6</f>
        <v>611.75</v>
      </c>
      <c r="H6" s="25">
        <v>168209.17</v>
      </c>
    </row>
    <row r="7" spans="2:8" ht="20.100000000000001" customHeight="1" x14ac:dyDescent="0.2">
      <c r="B7" s="184">
        <v>201</v>
      </c>
      <c r="C7" s="184">
        <v>112</v>
      </c>
      <c r="D7" s="184">
        <v>3221</v>
      </c>
      <c r="E7" s="185">
        <v>40.75</v>
      </c>
      <c r="F7" s="31">
        <f t="shared" ref="F7:F10" si="0">F6+E7</f>
        <v>652.5</v>
      </c>
      <c r="H7" s="25">
        <v>167484.72</v>
      </c>
    </row>
    <row r="8" spans="2:8" ht="20.100000000000001" customHeight="1" x14ac:dyDescent="0.2">
      <c r="B8" s="184">
        <v>201</v>
      </c>
      <c r="C8" s="184">
        <v>112</v>
      </c>
      <c r="D8" s="184">
        <v>3213</v>
      </c>
      <c r="E8" s="185">
        <v>258.57</v>
      </c>
      <c r="F8" s="31">
        <f t="shared" si="0"/>
        <v>911.06999999999994</v>
      </c>
      <c r="H8" s="25">
        <v>167484.72</v>
      </c>
    </row>
    <row r="9" spans="2:8" ht="20.100000000000001" customHeight="1" x14ac:dyDescent="0.2">
      <c r="B9" s="184">
        <v>202</v>
      </c>
      <c r="C9" s="184">
        <v>112</v>
      </c>
      <c r="D9" s="184">
        <v>3222</v>
      </c>
      <c r="E9" s="185">
        <v>1090.32</v>
      </c>
      <c r="F9" s="31">
        <f t="shared" si="0"/>
        <v>2001.3899999999999</v>
      </c>
      <c r="H9" s="25">
        <f>H6-H7</f>
        <v>724.45000000001164</v>
      </c>
    </row>
    <row r="10" spans="2:8" ht="20.100000000000001" customHeight="1" x14ac:dyDescent="0.2">
      <c r="B10" s="184">
        <v>202</v>
      </c>
      <c r="C10" s="184">
        <v>112</v>
      </c>
      <c r="D10" s="184">
        <v>3222</v>
      </c>
      <c r="E10" s="185">
        <v>343.21</v>
      </c>
      <c r="F10" s="31">
        <f t="shared" si="0"/>
        <v>2344.6</v>
      </c>
    </row>
    <row r="11" spans="2:8" ht="20.100000000000001" customHeight="1" x14ac:dyDescent="0.2">
      <c r="B11" s="186">
        <v>202</v>
      </c>
      <c r="C11" s="186">
        <v>431</v>
      </c>
      <c r="D11" s="186">
        <v>3213</v>
      </c>
      <c r="E11" s="187">
        <v>-40</v>
      </c>
      <c r="F11" s="31">
        <f>E11</f>
        <v>-40</v>
      </c>
    </row>
    <row r="12" spans="2:8" ht="20.100000000000001" customHeight="1" x14ac:dyDescent="0.2">
      <c r="B12" s="186">
        <v>201</v>
      </c>
      <c r="C12" s="186">
        <v>431</v>
      </c>
      <c r="D12" s="186">
        <v>3213</v>
      </c>
      <c r="E12" s="187">
        <v>-571.75</v>
      </c>
      <c r="F12" s="31">
        <f>F11+E12</f>
        <v>-611.75</v>
      </c>
    </row>
    <row r="13" spans="2:8" ht="20.100000000000001" customHeight="1" x14ac:dyDescent="0.2">
      <c r="B13" s="186">
        <v>201</v>
      </c>
      <c r="C13" s="186">
        <v>431</v>
      </c>
      <c r="D13" s="186">
        <v>3213</v>
      </c>
      <c r="E13" s="187">
        <v>-258.57</v>
      </c>
      <c r="F13" s="31">
        <f t="shared" ref="F13:F16" si="1">F12+E13</f>
        <v>-870.31999999999994</v>
      </c>
      <c r="H13" s="25">
        <v>167484.72</v>
      </c>
    </row>
    <row r="14" spans="2:8" ht="20.100000000000001" customHeight="1" x14ac:dyDescent="0.2">
      <c r="B14" s="186">
        <v>201</v>
      </c>
      <c r="C14" s="186">
        <v>431</v>
      </c>
      <c r="D14" s="186">
        <v>3221</v>
      </c>
      <c r="E14" s="187">
        <v>-40.75</v>
      </c>
      <c r="F14" s="31">
        <f t="shared" si="1"/>
        <v>-911.06999999999994</v>
      </c>
    </row>
    <row r="15" spans="2:8" ht="20.100000000000001" customHeight="1" x14ac:dyDescent="0.2">
      <c r="B15" s="186">
        <v>201</v>
      </c>
      <c r="C15" s="186">
        <v>431</v>
      </c>
      <c r="D15" s="186">
        <v>3222</v>
      </c>
      <c r="E15" s="187">
        <v>-1090.32</v>
      </c>
      <c r="F15" s="31">
        <f t="shared" si="1"/>
        <v>-2001.3899999999999</v>
      </c>
    </row>
    <row r="16" spans="2:8" ht="20.100000000000001" customHeight="1" x14ac:dyDescent="0.2">
      <c r="B16" s="186">
        <v>202</v>
      </c>
      <c r="C16" s="186">
        <v>431</v>
      </c>
      <c r="D16" s="186">
        <v>3222</v>
      </c>
      <c r="E16" s="187">
        <v>-343.21</v>
      </c>
      <c r="F16" s="31">
        <f t="shared" si="1"/>
        <v>-2344.6</v>
      </c>
    </row>
    <row r="17" spans="2:5" ht="39.950000000000003" customHeight="1" x14ac:dyDescent="0.2">
      <c r="B17" s="188"/>
      <c r="C17" s="188"/>
      <c r="D17" s="188"/>
      <c r="E17" s="189">
        <f>SUM(E5:E16)</f>
        <v>0</v>
      </c>
    </row>
    <row r="18" spans="2:5" ht="20.100000000000001" customHeight="1" x14ac:dyDescent="0.2">
      <c r="B18" s="25">
        <v>201</v>
      </c>
      <c r="C18" s="25">
        <v>112</v>
      </c>
      <c r="D18" s="25">
        <v>3213</v>
      </c>
      <c r="E18" s="25">
        <v>40</v>
      </c>
    </row>
    <row r="19" spans="2:5" ht="20.100000000000001" customHeight="1" x14ac:dyDescent="0.2">
      <c r="B19" s="25">
        <v>201</v>
      </c>
      <c r="C19" s="25">
        <v>112</v>
      </c>
      <c r="D19" s="25">
        <v>3213</v>
      </c>
      <c r="E19" s="25">
        <v>571.75</v>
      </c>
    </row>
    <row r="20" spans="2:5" ht="20.100000000000001" customHeight="1" x14ac:dyDescent="0.2">
      <c r="B20" s="25">
        <v>201</v>
      </c>
      <c r="C20" s="25">
        <v>112</v>
      </c>
      <c r="D20" s="25">
        <v>3221</v>
      </c>
      <c r="E20" s="25">
        <v>40.75</v>
      </c>
    </row>
    <row r="21" spans="2:5" ht="20.100000000000001" customHeight="1" x14ac:dyDescent="0.2">
      <c r="B21" s="25">
        <v>201</v>
      </c>
      <c r="C21" s="25">
        <v>341</v>
      </c>
      <c r="D21" s="25">
        <v>3213</v>
      </c>
      <c r="E21" s="25">
        <v>-571.75</v>
      </c>
    </row>
    <row r="22" spans="2:5" ht="20.100000000000001" customHeight="1" x14ac:dyDescent="0.2">
      <c r="B22" s="25">
        <v>201</v>
      </c>
      <c r="C22" s="25">
        <v>341</v>
      </c>
      <c r="D22" s="25">
        <v>3221</v>
      </c>
      <c r="E22" s="25">
        <v>-40.75</v>
      </c>
    </row>
    <row r="23" spans="2:5" ht="20.100000000000001" customHeight="1" x14ac:dyDescent="0.2">
      <c r="B23" s="25">
        <v>201</v>
      </c>
      <c r="C23" s="25">
        <v>341</v>
      </c>
      <c r="D23" s="25">
        <v>3222</v>
      </c>
      <c r="E23" s="25">
        <v>-1090.32</v>
      </c>
    </row>
    <row r="24" spans="2:5" ht="20.100000000000001" customHeight="1" x14ac:dyDescent="0.2">
      <c r="B24" s="25">
        <v>202</v>
      </c>
      <c r="C24" s="25">
        <v>112</v>
      </c>
      <c r="D24" s="25">
        <v>3222</v>
      </c>
      <c r="E24" s="25">
        <v>1090.32</v>
      </c>
    </row>
    <row r="25" spans="2:5" ht="20.100000000000001" customHeight="1" x14ac:dyDescent="0.2">
      <c r="B25" s="25">
        <v>202</v>
      </c>
      <c r="C25" s="25">
        <v>112</v>
      </c>
      <c r="D25" s="25">
        <v>3222</v>
      </c>
      <c r="E25" s="25">
        <v>343.21</v>
      </c>
    </row>
    <row r="26" spans="2:5" ht="20.100000000000001" customHeight="1" x14ac:dyDescent="0.2">
      <c r="B26" s="25">
        <v>202</v>
      </c>
      <c r="C26" s="25">
        <v>341</v>
      </c>
      <c r="D26" s="25">
        <v>3213</v>
      </c>
      <c r="E26" s="25">
        <v>-40</v>
      </c>
    </row>
    <row r="27" spans="2:5" ht="20.100000000000001" customHeight="1" x14ac:dyDescent="0.2">
      <c r="B27" s="25">
        <v>202</v>
      </c>
      <c r="C27" s="25">
        <v>341</v>
      </c>
      <c r="D27" s="25">
        <v>3222</v>
      </c>
      <c r="E27" s="25">
        <v>-343.21</v>
      </c>
    </row>
  </sheetData>
  <sortState ref="B18:E27">
    <sortCondition ref="B18:B27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Views>
    <sheetView showGridLines="0" workbookViewId="0">
      <pane ySplit="1" topLeftCell="A25" activePane="bottomLeft" state="frozenSplit"/>
      <selection pane="bottomLeft" activeCell="M43" sqref="M43"/>
    </sheetView>
  </sheetViews>
  <sheetFormatPr defaultRowHeight="12.75" x14ac:dyDescent="0.2"/>
  <cols>
    <col min="1" max="1" width="13.7109375" style="133" customWidth="1"/>
    <col min="2" max="2" width="40.7109375" style="133" customWidth="1"/>
    <col min="3" max="7" width="13.7109375" style="133" customWidth="1"/>
    <col min="8" max="8" width="13.42578125" style="133" bestFit="1" customWidth="1"/>
    <col min="9" max="9" width="10.140625" style="133" hidden="1" customWidth="1"/>
    <col min="10" max="248" width="9.140625" style="133"/>
    <col min="249" max="249" width="1.28515625" style="133" customWidth="1"/>
    <col min="250" max="250" width="11.5703125" style="133" customWidth="1"/>
    <col min="251" max="251" width="14.28515625" style="133" customWidth="1"/>
    <col min="252" max="252" width="6.28515625" style="133" customWidth="1"/>
    <col min="253" max="253" width="4" style="133" customWidth="1"/>
    <col min="254" max="254" width="4.85546875" style="133" customWidth="1"/>
    <col min="255" max="255" width="5.28515625" style="133" customWidth="1"/>
    <col min="256" max="256" width="2" style="133" customWidth="1"/>
    <col min="257" max="257" width="13.140625" style="133" customWidth="1"/>
    <col min="258" max="258" width="7" style="133" customWidth="1"/>
    <col min="259" max="259" width="0.85546875" style="133" customWidth="1"/>
    <col min="260" max="260" width="7.42578125" style="133" bestFit="1" customWidth="1"/>
    <col min="261" max="261" width="1" style="133" customWidth="1"/>
    <col min="262" max="262" width="12.42578125" style="133" customWidth="1"/>
    <col min="263" max="263" width="11.7109375" style="133" bestFit="1" customWidth="1"/>
    <col min="264" max="264" width="13.42578125" style="133" bestFit="1" customWidth="1"/>
    <col min="265" max="265" width="0" style="133" hidden="1" customWidth="1"/>
    <col min="266" max="504" width="9.140625" style="133"/>
    <col min="505" max="505" width="1.28515625" style="133" customWidth="1"/>
    <col min="506" max="506" width="11.5703125" style="133" customWidth="1"/>
    <col min="507" max="507" width="14.28515625" style="133" customWidth="1"/>
    <col min="508" max="508" width="6.28515625" style="133" customWidth="1"/>
    <col min="509" max="509" width="4" style="133" customWidth="1"/>
    <col min="510" max="510" width="4.85546875" style="133" customWidth="1"/>
    <col min="511" max="511" width="5.28515625" style="133" customWidth="1"/>
    <col min="512" max="512" width="2" style="133" customWidth="1"/>
    <col min="513" max="513" width="13.140625" style="133" customWidth="1"/>
    <col min="514" max="514" width="7" style="133" customWidth="1"/>
    <col min="515" max="515" width="0.85546875" style="133" customWidth="1"/>
    <col min="516" max="516" width="7.42578125" style="133" bestFit="1" customWidth="1"/>
    <col min="517" max="517" width="1" style="133" customWidth="1"/>
    <col min="518" max="518" width="12.42578125" style="133" customWidth="1"/>
    <col min="519" max="519" width="11.7109375" style="133" bestFit="1" customWidth="1"/>
    <col min="520" max="520" width="13.42578125" style="133" bestFit="1" customWidth="1"/>
    <col min="521" max="521" width="0" style="133" hidden="1" customWidth="1"/>
    <col min="522" max="760" width="9.140625" style="133"/>
    <col min="761" max="761" width="1.28515625" style="133" customWidth="1"/>
    <col min="762" max="762" width="11.5703125" style="133" customWidth="1"/>
    <col min="763" max="763" width="14.28515625" style="133" customWidth="1"/>
    <col min="764" max="764" width="6.28515625" style="133" customWidth="1"/>
    <col min="765" max="765" width="4" style="133" customWidth="1"/>
    <col min="766" max="766" width="4.85546875" style="133" customWidth="1"/>
    <col min="767" max="767" width="5.28515625" style="133" customWidth="1"/>
    <col min="768" max="768" width="2" style="133" customWidth="1"/>
    <col min="769" max="769" width="13.140625" style="133" customWidth="1"/>
    <col min="770" max="770" width="7" style="133" customWidth="1"/>
    <col min="771" max="771" width="0.85546875" style="133" customWidth="1"/>
    <col min="772" max="772" width="7.42578125" style="133" bestFit="1" customWidth="1"/>
    <col min="773" max="773" width="1" style="133" customWidth="1"/>
    <col min="774" max="774" width="12.42578125" style="133" customWidth="1"/>
    <col min="775" max="775" width="11.7109375" style="133" bestFit="1" customWidth="1"/>
    <col min="776" max="776" width="13.42578125" style="133" bestFit="1" customWidth="1"/>
    <col min="777" max="777" width="0" style="133" hidden="1" customWidth="1"/>
    <col min="778" max="1016" width="9.140625" style="133"/>
    <col min="1017" max="1017" width="1.28515625" style="133" customWidth="1"/>
    <col min="1018" max="1018" width="11.5703125" style="133" customWidth="1"/>
    <col min="1019" max="1019" width="14.28515625" style="133" customWidth="1"/>
    <col min="1020" max="1020" width="6.28515625" style="133" customWidth="1"/>
    <col min="1021" max="1021" width="4" style="133" customWidth="1"/>
    <col min="1022" max="1022" width="4.85546875" style="133" customWidth="1"/>
    <col min="1023" max="1023" width="5.28515625" style="133" customWidth="1"/>
    <col min="1024" max="1024" width="2" style="133" customWidth="1"/>
    <col min="1025" max="1025" width="13.140625" style="133" customWidth="1"/>
    <col min="1026" max="1026" width="7" style="133" customWidth="1"/>
    <col min="1027" max="1027" width="0.85546875" style="133" customWidth="1"/>
    <col min="1028" max="1028" width="7.42578125" style="133" bestFit="1" customWidth="1"/>
    <col min="1029" max="1029" width="1" style="133" customWidth="1"/>
    <col min="1030" max="1030" width="12.42578125" style="133" customWidth="1"/>
    <col min="1031" max="1031" width="11.7109375" style="133" bestFit="1" customWidth="1"/>
    <col min="1032" max="1032" width="13.42578125" style="133" bestFit="1" customWidth="1"/>
    <col min="1033" max="1033" width="0" style="133" hidden="1" customWidth="1"/>
    <col min="1034" max="1272" width="9.140625" style="133"/>
    <col min="1273" max="1273" width="1.28515625" style="133" customWidth="1"/>
    <col min="1274" max="1274" width="11.5703125" style="133" customWidth="1"/>
    <col min="1275" max="1275" width="14.28515625" style="133" customWidth="1"/>
    <col min="1276" max="1276" width="6.28515625" style="133" customWidth="1"/>
    <col min="1277" max="1277" width="4" style="133" customWidth="1"/>
    <col min="1278" max="1278" width="4.85546875" style="133" customWidth="1"/>
    <col min="1279" max="1279" width="5.28515625" style="133" customWidth="1"/>
    <col min="1280" max="1280" width="2" style="133" customWidth="1"/>
    <col min="1281" max="1281" width="13.140625" style="133" customWidth="1"/>
    <col min="1282" max="1282" width="7" style="133" customWidth="1"/>
    <col min="1283" max="1283" width="0.85546875" style="133" customWidth="1"/>
    <col min="1284" max="1284" width="7.42578125" style="133" bestFit="1" customWidth="1"/>
    <col min="1285" max="1285" width="1" style="133" customWidth="1"/>
    <col min="1286" max="1286" width="12.42578125" style="133" customWidth="1"/>
    <col min="1287" max="1287" width="11.7109375" style="133" bestFit="1" customWidth="1"/>
    <col min="1288" max="1288" width="13.42578125" style="133" bestFit="1" customWidth="1"/>
    <col min="1289" max="1289" width="0" style="133" hidden="1" customWidth="1"/>
    <col min="1290" max="1528" width="9.140625" style="133"/>
    <col min="1529" max="1529" width="1.28515625" style="133" customWidth="1"/>
    <col min="1530" max="1530" width="11.5703125" style="133" customWidth="1"/>
    <col min="1531" max="1531" width="14.28515625" style="133" customWidth="1"/>
    <col min="1532" max="1532" width="6.28515625" style="133" customWidth="1"/>
    <col min="1533" max="1533" width="4" style="133" customWidth="1"/>
    <col min="1534" max="1534" width="4.85546875" style="133" customWidth="1"/>
    <col min="1535" max="1535" width="5.28515625" style="133" customWidth="1"/>
    <col min="1536" max="1536" width="2" style="133" customWidth="1"/>
    <col min="1537" max="1537" width="13.140625" style="133" customWidth="1"/>
    <col min="1538" max="1538" width="7" style="133" customWidth="1"/>
    <col min="1539" max="1539" width="0.85546875" style="133" customWidth="1"/>
    <col min="1540" max="1540" width="7.42578125" style="133" bestFit="1" customWidth="1"/>
    <col min="1541" max="1541" width="1" style="133" customWidth="1"/>
    <col min="1542" max="1542" width="12.42578125" style="133" customWidth="1"/>
    <col min="1543" max="1543" width="11.7109375" style="133" bestFit="1" customWidth="1"/>
    <col min="1544" max="1544" width="13.42578125" style="133" bestFit="1" customWidth="1"/>
    <col min="1545" max="1545" width="0" style="133" hidden="1" customWidth="1"/>
    <col min="1546" max="1784" width="9.140625" style="133"/>
    <col min="1785" max="1785" width="1.28515625" style="133" customWidth="1"/>
    <col min="1786" max="1786" width="11.5703125" style="133" customWidth="1"/>
    <col min="1787" max="1787" width="14.28515625" style="133" customWidth="1"/>
    <col min="1788" max="1788" width="6.28515625" style="133" customWidth="1"/>
    <col min="1789" max="1789" width="4" style="133" customWidth="1"/>
    <col min="1790" max="1790" width="4.85546875" style="133" customWidth="1"/>
    <col min="1791" max="1791" width="5.28515625" style="133" customWidth="1"/>
    <col min="1792" max="1792" width="2" style="133" customWidth="1"/>
    <col min="1793" max="1793" width="13.140625" style="133" customWidth="1"/>
    <col min="1794" max="1794" width="7" style="133" customWidth="1"/>
    <col min="1795" max="1795" width="0.85546875" style="133" customWidth="1"/>
    <col min="1796" max="1796" width="7.42578125" style="133" bestFit="1" customWidth="1"/>
    <col min="1797" max="1797" width="1" style="133" customWidth="1"/>
    <col min="1798" max="1798" width="12.42578125" style="133" customWidth="1"/>
    <col min="1799" max="1799" width="11.7109375" style="133" bestFit="1" customWidth="1"/>
    <col min="1800" max="1800" width="13.42578125" style="133" bestFit="1" customWidth="1"/>
    <col min="1801" max="1801" width="0" style="133" hidden="1" customWidth="1"/>
    <col min="1802" max="2040" width="9.140625" style="133"/>
    <col min="2041" max="2041" width="1.28515625" style="133" customWidth="1"/>
    <col min="2042" max="2042" width="11.5703125" style="133" customWidth="1"/>
    <col min="2043" max="2043" width="14.28515625" style="133" customWidth="1"/>
    <col min="2044" max="2044" width="6.28515625" style="133" customWidth="1"/>
    <col min="2045" max="2045" width="4" style="133" customWidth="1"/>
    <col min="2046" max="2046" width="4.85546875" style="133" customWidth="1"/>
    <col min="2047" max="2047" width="5.28515625" style="133" customWidth="1"/>
    <col min="2048" max="2048" width="2" style="133" customWidth="1"/>
    <col min="2049" max="2049" width="13.140625" style="133" customWidth="1"/>
    <col min="2050" max="2050" width="7" style="133" customWidth="1"/>
    <col min="2051" max="2051" width="0.85546875" style="133" customWidth="1"/>
    <col min="2052" max="2052" width="7.42578125" style="133" bestFit="1" customWidth="1"/>
    <col min="2053" max="2053" width="1" style="133" customWidth="1"/>
    <col min="2054" max="2054" width="12.42578125" style="133" customWidth="1"/>
    <col min="2055" max="2055" width="11.7109375" style="133" bestFit="1" customWidth="1"/>
    <col min="2056" max="2056" width="13.42578125" style="133" bestFit="1" customWidth="1"/>
    <col min="2057" max="2057" width="0" style="133" hidden="1" customWidth="1"/>
    <col min="2058" max="2296" width="9.140625" style="133"/>
    <col min="2297" max="2297" width="1.28515625" style="133" customWidth="1"/>
    <col min="2298" max="2298" width="11.5703125" style="133" customWidth="1"/>
    <col min="2299" max="2299" width="14.28515625" style="133" customWidth="1"/>
    <col min="2300" max="2300" width="6.28515625" style="133" customWidth="1"/>
    <col min="2301" max="2301" width="4" style="133" customWidth="1"/>
    <col min="2302" max="2302" width="4.85546875" style="133" customWidth="1"/>
    <col min="2303" max="2303" width="5.28515625" style="133" customWidth="1"/>
    <col min="2304" max="2304" width="2" style="133" customWidth="1"/>
    <col min="2305" max="2305" width="13.140625" style="133" customWidth="1"/>
    <col min="2306" max="2306" width="7" style="133" customWidth="1"/>
    <col min="2307" max="2307" width="0.85546875" style="133" customWidth="1"/>
    <col min="2308" max="2308" width="7.42578125" style="133" bestFit="1" customWidth="1"/>
    <col min="2309" max="2309" width="1" style="133" customWidth="1"/>
    <col min="2310" max="2310" width="12.42578125" style="133" customWidth="1"/>
    <col min="2311" max="2311" width="11.7109375" style="133" bestFit="1" customWidth="1"/>
    <col min="2312" max="2312" width="13.42578125" style="133" bestFit="1" customWidth="1"/>
    <col min="2313" max="2313" width="0" style="133" hidden="1" customWidth="1"/>
    <col min="2314" max="2552" width="9.140625" style="133"/>
    <col min="2553" max="2553" width="1.28515625" style="133" customWidth="1"/>
    <col min="2554" max="2554" width="11.5703125" style="133" customWidth="1"/>
    <col min="2555" max="2555" width="14.28515625" style="133" customWidth="1"/>
    <col min="2556" max="2556" width="6.28515625" style="133" customWidth="1"/>
    <col min="2557" max="2557" width="4" style="133" customWidth="1"/>
    <col min="2558" max="2558" width="4.85546875" style="133" customWidth="1"/>
    <col min="2559" max="2559" width="5.28515625" style="133" customWidth="1"/>
    <col min="2560" max="2560" width="2" style="133" customWidth="1"/>
    <col min="2561" max="2561" width="13.140625" style="133" customWidth="1"/>
    <col min="2562" max="2562" width="7" style="133" customWidth="1"/>
    <col min="2563" max="2563" width="0.85546875" style="133" customWidth="1"/>
    <col min="2564" max="2564" width="7.42578125" style="133" bestFit="1" customWidth="1"/>
    <col min="2565" max="2565" width="1" style="133" customWidth="1"/>
    <col min="2566" max="2566" width="12.42578125" style="133" customWidth="1"/>
    <col min="2567" max="2567" width="11.7109375" style="133" bestFit="1" customWidth="1"/>
    <col min="2568" max="2568" width="13.42578125" style="133" bestFit="1" customWidth="1"/>
    <col min="2569" max="2569" width="0" style="133" hidden="1" customWidth="1"/>
    <col min="2570" max="2808" width="9.140625" style="133"/>
    <col min="2809" max="2809" width="1.28515625" style="133" customWidth="1"/>
    <col min="2810" max="2810" width="11.5703125" style="133" customWidth="1"/>
    <col min="2811" max="2811" width="14.28515625" style="133" customWidth="1"/>
    <col min="2812" max="2812" width="6.28515625" style="133" customWidth="1"/>
    <col min="2813" max="2813" width="4" style="133" customWidth="1"/>
    <col min="2814" max="2814" width="4.85546875" style="133" customWidth="1"/>
    <col min="2815" max="2815" width="5.28515625" style="133" customWidth="1"/>
    <col min="2816" max="2816" width="2" style="133" customWidth="1"/>
    <col min="2817" max="2817" width="13.140625" style="133" customWidth="1"/>
    <col min="2818" max="2818" width="7" style="133" customWidth="1"/>
    <col min="2819" max="2819" width="0.85546875" style="133" customWidth="1"/>
    <col min="2820" max="2820" width="7.42578125" style="133" bestFit="1" customWidth="1"/>
    <col min="2821" max="2821" width="1" style="133" customWidth="1"/>
    <col min="2822" max="2822" width="12.42578125" style="133" customWidth="1"/>
    <col min="2823" max="2823" width="11.7109375" style="133" bestFit="1" customWidth="1"/>
    <col min="2824" max="2824" width="13.42578125" style="133" bestFit="1" customWidth="1"/>
    <col min="2825" max="2825" width="0" style="133" hidden="1" customWidth="1"/>
    <col min="2826" max="3064" width="9.140625" style="133"/>
    <col min="3065" max="3065" width="1.28515625" style="133" customWidth="1"/>
    <col min="3066" max="3066" width="11.5703125" style="133" customWidth="1"/>
    <col min="3067" max="3067" width="14.28515625" style="133" customWidth="1"/>
    <col min="3068" max="3068" width="6.28515625" style="133" customWidth="1"/>
    <col min="3069" max="3069" width="4" style="133" customWidth="1"/>
    <col min="3070" max="3070" width="4.85546875" style="133" customWidth="1"/>
    <col min="3071" max="3071" width="5.28515625" style="133" customWidth="1"/>
    <col min="3072" max="3072" width="2" style="133" customWidth="1"/>
    <col min="3073" max="3073" width="13.140625" style="133" customWidth="1"/>
    <col min="3074" max="3074" width="7" style="133" customWidth="1"/>
    <col min="3075" max="3075" width="0.85546875" style="133" customWidth="1"/>
    <col min="3076" max="3076" width="7.42578125" style="133" bestFit="1" customWidth="1"/>
    <col min="3077" max="3077" width="1" style="133" customWidth="1"/>
    <col min="3078" max="3078" width="12.42578125" style="133" customWidth="1"/>
    <col min="3079" max="3079" width="11.7109375" style="133" bestFit="1" customWidth="1"/>
    <col min="3080" max="3080" width="13.42578125" style="133" bestFit="1" customWidth="1"/>
    <col min="3081" max="3081" width="0" style="133" hidden="1" customWidth="1"/>
    <col min="3082" max="3320" width="9.140625" style="133"/>
    <col min="3321" max="3321" width="1.28515625" style="133" customWidth="1"/>
    <col min="3322" max="3322" width="11.5703125" style="133" customWidth="1"/>
    <col min="3323" max="3323" width="14.28515625" style="133" customWidth="1"/>
    <col min="3324" max="3324" width="6.28515625" style="133" customWidth="1"/>
    <col min="3325" max="3325" width="4" style="133" customWidth="1"/>
    <col min="3326" max="3326" width="4.85546875" style="133" customWidth="1"/>
    <col min="3327" max="3327" width="5.28515625" style="133" customWidth="1"/>
    <col min="3328" max="3328" width="2" style="133" customWidth="1"/>
    <col min="3329" max="3329" width="13.140625" style="133" customWidth="1"/>
    <col min="3330" max="3330" width="7" style="133" customWidth="1"/>
    <col min="3331" max="3331" width="0.85546875" style="133" customWidth="1"/>
    <col min="3332" max="3332" width="7.42578125" style="133" bestFit="1" customWidth="1"/>
    <col min="3333" max="3333" width="1" style="133" customWidth="1"/>
    <col min="3334" max="3334" width="12.42578125" style="133" customWidth="1"/>
    <col min="3335" max="3335" width="11.7109375" style="133" bestFit="1" customWidth="1"/>
    <col min="3336" max="3336" width="13.42578125" style="133" bestFit="1" customWidth="1"/>
    <col min="3337" max="3337" width="0" style="133" hidden="1" customWidth="1"/>
    <col min="3338" max="3576" width="9.140625" style="133"/>
    <col min="3577" max="3577" width="1.28515625" style="133" customWidth="1"/>
    <col min="3578" max="3578" width="11.5703125" style="133" customWidth="1"/>
    <col min="3579" max="3579" width="14.28515625" style="133" customWidth="1"/>
    <col min="3580" max="3580" width="6.28515625" style="133" customWidth="1"/>
    <col min="3581" max="3581" width="4" style="133" customWidth="1"/>
    <col min="3582" max="3582" width="4.85546875" style="133" customWidth="1"/>
    <col min="3583" max="3583" width="5.28515625" style="133" customWidth="1"/>
    <col min="3584" max="3584" width="2" style="133" customWidth="1"/>
    <col min="3585" max="3585" width="13.140625" style="133" customWidth="1"/>
    <col min="3586" max="3586" width="7" style="133" customWidth="1"/>
    <col min="3587" max="3587" width="0.85546875" style="133" customWidth="1"/>
    <col min="3588" max="3588" width="7.42578125" style="133" bestFit="1" customWidth="1"/>
    <col min="3589" max="3589" width="1" style="133" customWidth="1"/>
    <col min="3590" max="3590" width="12.42578125" style="133" customWidth="1"/>
    <col min="3591" max="3591" width="11.7109375" style="133" bestFit="1" customWidth="1"/>
    <col min="3592" max="3592" width="13.42578125" style="133" bestFit="1" customWidth="1"/>
    <col min="3593" max="3593" width="0" style="133" hidden="1" customWidth="1"/>
    <col min="3594" max="3832" width="9.140625" style="133"/>
    <col min="3833" max="3833" width="1.28515625" style="133" customWidth="1"/>
    <col min="3834" max="3834" width="11.5703125" style="133" customWidth="1"/>
    <col min="3835" max="3835" width="14.28515625" style="133" customWidth="1"/>
    <col min="3836" max="3836" width="6.28515625" style="133" customWidth="1"/>
    <col min="3837" max="3837" width="4" style="133" customWidth="1"/>
    <col min="3838" max="3838" width="4.85546875" style="133" customWidth="1"/>
    <col min="3839" max="3839" width="5.28515625" style="133" customWidth="1"/>
    <col min="3840" max="3840" width="2" style="133" customWidth="1"/>
    <col min="3841" max="3841" width="13.140625" style="133" customWidth="1"/>
    <col min="3842" max="3842" width="7" style="133" customWidth="1"/>
    <col min="3843" max="3843" width="0.85546875" style="133" customWidth="1"/>
    <col min="3844" max="3844" width="7.42578125" style="133" bestFit="1" customWidth="1"/>
    <col min="3845" max="3845" width="1" style="133" customWidth="1"/>
    <col min="3846" max="3846" width="12.42578125" style="133" customWidth="1"/>
    <col min="3847" max="3847" width="11.7109375" style="133" bestFit="1" customWidth="1"/>
    <col min="3848" max="3848" width="13.42578125" style="133" bestFit="1" customWidth="1"/>
    <col min="3849" max="3849" width="0" style="133" hidden="1" customWidth="1"/>
    <col min="3850" max="4088" width="9.140625" style="133"/>
    <col min="4089" max="4089" width="1.28515625" style="133" customWidth="1"/>
    <col min="4090" max="4090" width="11.5703125" style="133" customWidth="1"/>
    <col min="4091" max="4091" width="14.28515625" style="133" customWidth="1"/>
    <col min="4092" max="4092" width="6.28515625" style="133" customWidth="1"/>
    <col min="4093" max="4093" width="4" style="133" customWidth="1"/>
    <col min="4094" max="4094" width="4.85546875" style="133" customWidth="1"/>
    <col min="4095" max="4095" width="5.28515625" style="133" customWidth="1"/>
    <col min="4096" max="4096" width="2" style="133" customWidth="1"/>
    <col min="4097" max="4097" width="13.140625" style="133" customWidth="1"/>
    <col min="4098" max="4098" width="7" style="133" customWidth="1"/>
    <col min="4099" max="4099" width="0.85546875" style="133" customWidth="1"/>
    <col min="4100" max="4100" width="7.42578125" style="133" bestFit="1" customWidth="1"/>
    <col min="4101" max="4101" width="1" style="133" customWidth="1"/>
    <col min="4102" max="4102" width="12.42578125" style="133" customWidth="1"/>
    <col min="4103" max="4103" width="11.7109375" style="133" bestFit="1" customWidth="1"/>
    <col min="4104" max="4104" width="13.42578125" style="133" bestFit="1" customWidth="1"/>
    <col min="4105" max="4105" width="0" style="133" hidden="1" customWidth="1"/>
    <col min="4106" max="4344" width="9.140625" style="133"/>
    <col min="4345" max="4345" width="1.28515625" style="133" customWidth="1"/>
    <col min="4346" max="4346" width="11.5703125" style="133" customWidth="1"/>
    <col min="4347" max="4347" width="14.28515625" style="133" customWidth="1"/>
    <col min="4348" max="4348" width="6.28515625" style="133" customWidth="1"/>
    <col min="4349" max="4349" width="4" style="133" customWidth="1"/>
    <col min="4350" max="4350" width="4.85546875" style="133" customWidth="1"/>
    <col min="4351" max="4351" width="5.28515625" style="133" customWidth="1"/>
    <col min="4352" max="4352" width="2" style="133" customWidth="1"/>
    <col min="4353" max="4353" width="13.140625" style="133" customWidth="1"/>
    <col min="4354" max="4354" width="7" style="133" customWidth="1"/>
    <col min="4355" max="4355" width="0.85546875" style="133" customWidth="1"/>
    <col min="4356" max="4356" width="7.42578125" style="133" bestFit="1" customWidth="1"/>
    <col min="4357" max="4357" width="1" style="133" customWidth="1"/>
    <col min="4358" max="4358" width="12.42578125" style="133" customWidth="1"/>
    <col min="4359" max="4359" width="11.7109375" style="133" bestFit="1" customWidth="1"/>
    <col min="4360" max="4360" width="13.42578125" style="133" bestFit="1" customWidth="1"/>
    <col min="4361" max="4361" width="0" style="133" hidden="1" customWidth="1"/>
    <col min="4362" max="4600" width="9.140625" style="133"/>
    <col min="4601" max="4601" width="1.28515625" style="133" customWidth="1"/>
    <col min="4602" max="4602" width="11.5703125" style="133" customWidth="1"/>
    <col min="4603" max="4603" width="14.28515625" style="133" customWidth="1"/>
    <col min="4604" max="4604" width="6.28515625" style="133" customWidth="1"/>
    <col min="4605" max="4605" width="4" style="133" customWidth="1"/>
    <col min="4606" max="4606" width="4.85546875" style="133" customWidth="1"/>
    <col min="4607" max="4607" width="5.28515625" style="133" customWidth="1"/>
    <col min="4608" max="4608" width="2" style="133" customWidth="1"/>
    <col min="4609" max="4609" width="13.140625" style="133" customWidth="1"/>
    <col min="4610" max="4610" width="7" style="133" customWidth="1"/>
    <col min="4611" max="4611" width="0.85546875" style="133" customWidth="1"/>
    <col min="4612" max="4612" width="7.42578125" style="133" bestFit="1" customWidth="1"/>
    <col min="4613" max="4613" width="1" style="133" customWidth="1"/>
    <col min="4614" max="4614" width="12.42578125" style="133" customWidth="1"/>
    <col min="4615" max="4615" width="11.7109375" style="133" bestFit="1" customWidth="1"/>
    <col min="4616" max="4616" width="13.42578125" style="133" bestFit="1" customWidth="1"/>
    <col min="4617" max="4617" width="0" style="133" hidden="1" customWidth="1"/>
    <col min="4618" max="4856" width="9.140625" style="133"/>
    <col min="4857" max="4857" width="1.28515625" style="133" customWidth="1"/>
    <col min="4858" max="4858" width="11.5703125" style="133" customWidth="1"/>
    <col min="4859" max="4859" width="14.28515625" style="133" customWidth="1"/>
    <col min="4860" max="4860" width="6.28515625" style="133" customWidth="1"/>
    <col min="4861" max="4861" width="4" style="133" customWidth="1"/>
    <col min="4862" max="4862" width="4.85546875" style="133" customWidth="1"/>
    <col min="4863" max="4863" width="5.28515625" style="133" customWidth="1"/>
    <col min="4864" max="4864" width="2" style="133" customWidth="1"/>
    <col min="4865" max="4865" width="13.140625" style="133" customWidth="1"/>
    <col min="4866" max="4866" width="7" style="133" customWidth="1"/>
    <col min="4867" max="4867" width="0.85546875" style="133" customWidth="1"/>
    <col min="4868" max="4868" width="7.42578125" style="133" bestFit="1" customWidth="1"/>
    <col min="4869" max="4869" width="1" style="133" customWidth="1"/>
    <col min="4870" max="4870" width="12.42578125" style="133" customWidth="1"/>
    <col min="4871" max="4871" width="11.7109375" style="133" bestFit="1" customWidth="1"/>
    <col min="4872" max="4872" width="13.42578125" style="133" bestFit="1" customWidth="1"/>
    <col min="4873" max="4873" width="0" style="133" hidden="1" customWidth="1"/>
    <col min="4874" max="5112" width="9.140625" style="133"/>
    <col min="5113" max="5113" width="1.28515625" style="133" customWidth="1"/>
    <col min="5114" max="5114" width="11.5703125" style="133" customWidth="1"/>
    <col min="5115" max="5115" width="14.28515625" style="133" customWidth="1"/>
    <col min="5116" max="5116" width="6.28515625" style="133" customWidth="1"/>
    <col min="5117" max="5117" width="4" style="133" customWidth="1"/>
    <col min="5118" max="5118" width="4.85546875" style="133" customWidth="1"/>
    <col min="5119" max="5119" width="5.28515625" style="133" customWidth="1"/>
    <col min="5120" max="5120" width="2" style="133" customWidth="1"/>
    <col min="5121" max="5121" width="13.140625" style="133" customWidth="1"/>
    <col min="5122" max="5122" width="7" style="133" customWidth="1"/>
    <col min="5123" max="5123" width="0.85546875" style="133" customWidth="1"/>
    <col min="5124" max="5124" width="7.42578125" style="133" bestFit="1" customWidth="1"/>
    <col min="5125" max="5125" width="1" style="133" customWidth="1"/>
    <col min="5126" max="5126" width="12.42578125" style="133" customWidth="1"/>
    <col min="5127" max="5127" width="11.7109375" style="133" bestFit="1" customWidth="1"/>
    <col min="5128" max="5128" width="13.42578125" style="133" bestFit="1" customWidth="1"/>
    <col min="5129" max="5129" width="0" style="133" hidden="1" customWidth="1"/>
    <col min="5130" max="5368" width="9.140625" style="133"/>
    <col min="5369" max="5369" width="1.28515625" style="133" customWidth="1"/>
    <col min="5370" max="5370" width="11.5703125" style="133" customWidth="1"/>
    <col min="5371" max="5371" width="14.28515625" style="133" customWidth="1"/>
    <col min="5372" max="5372" width="6.28515625" style="133" customWidth="1"/>
    <col min="5373" max="5373" width="4" style="133" customWidth="1"/>
    <col min="5374" max="5374" width="4.85546875" style="133" customWidth="1"/>
    <col min="5375" max="5375" width="5.28515625" style="133" customWidth="1"/>
    <col min="5376" max="5376" width="2" style="133" customWidth="1"/>
    <col min="5377" max="5377" width="13.140625" style="133" customWidth="1"/>
    <col min="5378" max="5378" width="7" style="133" customWidth="1"/>
    <col min="5379" max="5379" width="0.85546875" style="133" customWidth="1"/>
    <col min="5380" max="5380" width="7.42578125" style="133" bestFit="1" customWidth="1"/>
    <col min="5381" max="5381" width="1" style="133" customWidth="1"/>
    <col min="5382" max="5382" width="12.42578125" style="133" customWidth="1"/>
    <col min="5383" max="5383" width="11.7109375" style="133" bestFit="1" customWidth="1"/>
    <col min="5384" max="5384" width="13.42578125" style="133" bestFit="1" customWidth="1"/>
    <col min="5385" max="5385" width="0" style="133" hidden="1" customWidth="1"/>
    <col min="5386" max="5624" width="9.140625" style="133"/>
    <col min="5625" max="5625" width="1.28515625" style="133" customWidth="1"/>
    <col min="5626" max="5626" width="11.5703125" style="133" customWidth="1"/>
    <col min="5627" max="5627" width="14.28515625" style="133" customWidth="1"/>
    <col min="5628" max="5628" width="6.28515625" style="133" customWidth="1"/>
    <col min="5629" max="5629" width="4" style="133" customWidth="1"/>
    <col min="5630" max="5630" width="4.85546875" style="133" customWidth="1"/>
    <col min="5631" max="5631" width="5.28515625" style="133" customWidth="1"/>
    <col min="5632" max="5632" width="2" style="133" customWidth="1"/>
    <col min="5633" max="5633" width="13.140625" style="133" customWidth="1"/>
    <col min="5634" max="5634" width="7" style="133" customWidth="1"/>
    <col min="5635" max="5635" width="0.85546875" style="133" customWidth="1"/>
    <col min="5636" max="5636" width="7.42578125" style="133" bestFit="1" customWidth="1"/>
    <col min="5637" max="5637" width="1" style="133" customWidth="1"/>
    <col min="5638" max="5638" width="12.42578125" style="133" customWidth="1"/>
    <col min="5639" max="5639" width="11.7109375" style="133" bestFit="1" customWidth="1"/>
    <col min="5640" max="5640" width="13.42578125" style="133" bestFit="1" customWidth="1"/>
    <col min="5641" max="5641" width="0" style="133" hidden="1" customWidth="1"/>
    <col min="5642" max="5880" width="9.140625" style="133"/>
    <col min="5881" max="5881" width="1.28515625" style="133" customWidth="1"/>
    <col min="5882" max="5882" width="11.5703125" style="133" customWidth="1"/>
    <col min="5883" max="5883" width="14.28515625" style="133" customWidth="1"/>
    <col min="5884" max="5884" width="6.28515625" style="133" customWidth="1"/>
    <col min="5885" max="5885" width="4" style="133" customWidth="1"/>
    <col min="5886" max="5886" width="4.85546875" style="133" customWidth="1"/>
    <col min="5887" max="5887" width="5.28515625" style="133" customWidth="1"/>
    <col min="5888" max="5888" width="2" style="133" customWidth="1"/>
    <col min="5889" max="5889" width="13.140625" style="133" customWidth="1"/>
    <col min="5890" max="5890" width="7" style="133" customWidth="1"/>
    <col min="5891" max="5891" width="0.85546875" style="133" customWidth="1"/>
    <col min="5892" max="5892" width="7.42578125" style="133" bestFit="1" customWidth="1"/>
    <col min="5893" max="5893" width="1" style="133" customWidth="1"/>
    <col min="5894" max="5894" width="12.42578125" style="133" customWidth="1"/>
    <col min="5895" max="5895" width="11.7109375" style="133" bestFit="1" customWidth="1"/>
    <col min="5896" max="5896" width="13.42578125" style="133" bestFit="1" customWidth="1"/>
    <col min="5897" max="5897" width="0" style="133" hidden="1" customWidth="1"/>
    <col min="5898" max="6136" width="9.140625" style="133"/>
    <col min="6137" max="6137" width="1.28515625" style="133" customWidth="1"/>
    <col min="6138" max="6138" width="11.5703125" style="133" customWidth="1"/>
    <col min="6139" max="6139" width="14.28515625" style="133" customWidth="1"/>
    <col min="6140" max="6140" width="6.28515625" style="133" customWidth="1"/>
    <col min="6141" max="6141" width="4" style="133" customWidth="1"/>
    <col min="6142" max="6142" width="4.85546875" style="133" customWidth="1"/>
    <col min="6143" max="6143" width="5.28515625" style="133" customWidth="1"/>
    <col min="6144" max="6144" width="2" style="133" customWidth="1"/>
    <col min="6145" max="6145" width="13.140625" style="133" customWidth="1"/>
    <col min="6146" max="6146" width="7" style="133" customWidth="1"/>
    <col min="6147" max="6147" width="0.85546875" style="133" customWidth="1"/>
    <col min="6148" max="6148" width="7.42578125" style="133" bestFit="1" customWidth="1"/>
    <col min="6149" max="6149" width="1" style="133" customWidth="1"/>
    <col min="6150" max="6150" width="12.42578125" style="133" customWidth="1"/>
    <col min="6151" max="6151" width="11.7109375" style="133" bestFit="1" customWidth="1"/>
    <col min="6152" max="6152" width="13.42578125" style="133" bestFit="1" customWidth="1"/>
    <col min="6153" max="6153" width="0" style="133" hidden="1" customWidth="1"/>
    <col min="6154" max="6392" width="9.140625" style="133"/>
    <col min="6393" max="6393" width="1.28515625" style="133" customWidth="1"/>
    <col min="6394" max="6394" width="11.5703125" style="133" customWidth="1"/>
    <col min="6395" max="6395" width="14.28515625" style="133" customWidth="1"/>
    <col min="6396" max="6396" width="6.28515625" style="133" customWidth="1"/>
    <col min="6397" max="6397" width="4" style="133" customWidth="1"/>
    <col min="6398" max="6398" width="4.85546875" style="133" customWidth="1"/>
    <col min="6399" max="6399" width="5.28515625" style="133" customWidth="1"/>
    <col min="6400" max="6400" width="2" style="133" customWidth="1"/>
    <col min="6401" max="6401" width="13.140625" style="133" customWidth="1"/>
    <col min="6402" max="6402" width="7" style="133" customWidth="1"/>
    <col min="6403" max="6403" width="0.85546875" style="133" customWidth="1"/>
    <col min="6404" max="6404" width="7.42578125" style="133" bestFit="1" customWidth="1"/>
    <col min="6405" max="6405" width="1" style="133" customWidth="1"/>
    <col min="6406" max="6406" width="12.42578125" style="133" customWidth="1"/>
    <col min="6407" max="6407" width="11.7109375" style="133" bestFit="1" customWidth="1"/>
    <col min="6408" max="6408" width="13.42578125" style="133" bestFit="1" customWidth="1"/>
    <col min="6409" max="6409" width="0" style="133" hidden="1" customWidth="1"/>
    <col min="6410" max="6648" width="9.140625" style="133"/>
    <col min="6649" max="6649" width="1.28515625" style="133" customWidth="1"/>
    <col min="6650" max="6650" width="11.5703125" style="133" customWidth="1"/>
    <col min="6651" max="6651" width="14.28515625" style="133" customWidth="1"/>
    <col min="6652" max="6652" width="6.28515625" style="133" customWidth="1"/>
    <col min="6653" max="6653" width="4" style="133" customWidth="1"/>
    <col min="6654" max="6654" width="4.85546875" style="133" customWidth="1"/>
    <col min="6655" max="6655" width="5.28515625" style="133" customWidth="1"/>
    <col min="6656" max="6656" width="2" style="133" customWidth="1"/>
    <col min="6657" max="6657" width="13.140625" style="133" customWidth="1"/>
    <col min="6658" max="6658" width="7" style="133" customWidth="1"/>
    <col min="6659" max="6659" width="0.85546875" style="133" customWidth="1"/>
    <col min="6660" max="6660" width="7.42578125" style="133" bestFit="1" customWidth="1"/>
    <col min="6661" max="6661" width="1" style="133" customWidth="1"/>
    <col min="6662" max="6662" width="12.42578125" style="133" customWidth="1"/>
    <col min="6663" max="6663" width="11.7109375" style="133" bestFit="1" customWidth="1"/>
    <col min="6664" max="6664" width="13.42578125" style="133" bestFit="1" customWidth="1"/>
    <col min="6665" max="6665" width="0" style="133" hidden="1" customWidth="1"/>
    <col min="6666" max="6904" width="9.140625" style="133"/>
    <col min="6905" max="6905" width="1.28515625" style="133" customWidth="1"/>
    <col min="6906" max="6906" width="11.5703125" style="133" customWidth="1"/>
    <col min="6907" max="6907" width="14.28515625" style="133" customWidth="1"/>
    <col min="6908" max="6908" width="6.28515625" style="133" customWidth="1"/>
    <col min="6909" max="6909" width="4" style="133" customWidth="1"/>
    <col min="6910" max="6910" width="4.85546875" style="133" customWidth="1"/>
    <col min="6911" max="6911" width="5.28515625" style="133" customWidth="1"/>
    <col min="6912" max="6912" width="2" style="133" customWidth="1"/>
    <col min="6913" max="6913" width="13.140625" style="133" customWidth="1"/>
    <col min="6914" max="6914" width="7" style="133" customWidth="1"/>
    <col min="6915" max="6915" width="0.85546875" style="133" customWidth="1"/>
    <col min="6916" max="6916" width="7.42578125" style="133" bestFit="1" customWidth="1"/>
    <col min="6917" max="6917" width="1" style="133" customWidth="1"/>
    <col min="6918" max="6918" width="12.42578125" style="133" customWidth="1"/>
    <col min="6919" max="6919" width="11.7109375" style="133" bestFit="1" customWidth="1"/>
    <col min="6920" max="6920" width="13.42578125" style="133" bestFit="1" customWidth="1"/>
    <col min="6921" max="6921" width="0" style="133" hidden="1" customWidth="1"/>
    <col min="6922" max="7160" width="9.140625" style="133"/>
    <col min="7161" max="7161" width="1.28515625" style="133" customWidth="1"/>
    <col min="7162" max="7162" width="11.5703125" style="133" customWidth="1"/>
    <col min="7163" max="7163" width="14.28515625" style="133" customWidth="1"/>
    <col min="7164" max="7164" width="6.28515625" style="133" customWidth="1"/>
    <col min="7165" max="7165" width="4" style="133" customWidth="1"/>
    <col min="7166" max="7166" width="4.85546875" style="133" customWidth="1"/>
    <col min="7167" max="7167" width="5.28515625" style="133" customWidth="1"/>
    <col min="7168" max="7168" width="2" style="133" customWidth="1"/>
    <col min="7169" max="7169" width="13.140625" style="133" customWidth="1"/>
    <col min="7170" max="7170" width="7" style="133" customWidth="1"/>
    <col min="7171" max="7171" width="0.85546875" style="133" customWidth="1"/>
    <col min="7172" max="7172" width="7.42578125" style="133" bestFit="1" customWidth="1"/>
    <col min="7173" max="7173" width="1" style="133" customWidth="1"/>
    <col min="7174" max="7174" width="12.42578125" style="133" customWidth="1"/>
    <col min="7175" max="7175" width="11.7109375" style="133" bestFit="1" customWidth="1"/>
    <col min="7176" max="7176" width="13.42578125" style="133" bestFit="1" customWidth="1"/>
    <col min="7177" max="7177" width="0" style="133" hidden="1" customWidth="1"/>
    <col min="7178" max="7416" width="9.140625" style="133"/>
    <col min="7417" max="7417" width="1.28515625" style="133" customWidth="1"/>
    <col min="7418" max="7418" width="11.5703125" style="133" customWidth="1"/>
    <col min="7419" max="7419" width="14.28515625" style="133" customWidth="1"/>
    <col min="7420" max="7420" width="6.28515625" style="133" customWidth="1"/>
    <col min="7421" max="7421" width="4" style="133" customWidth="1"/>
    <col min="7422" max="7422" width="4.85546875" style="133" customWidth="1"/>
    <col min="7423" max="7423" width="5.28515625" style="133" customWidth="1"/>
    <col min="7424" max="7424" width="2" style="133" customWidth="1"/>
    <col min="7425" max="7425" width="13.140625" style="133" customWidth="1"/>
    <col min="7426" max="7426" width="7" style="133" customWidth="1"/>
    <col min="7427" max="7427" width="0.85546875" style="133" customWidth="1"/>
    <col min="7428" max="7428" width="7.42578125" style="133" bestFit="1" customWidth="1"/>
    <col min="7429" max="7429" width="1" style="133" customWidth="1"/>
    <col min="7430" max="7430" width="12.42578125" style="133" customWidth="1"/>
    <col min="7431" max="7431" width="11.7109375" style="133" bestFit="1" customWidth="1"/>
    <col min="7432" max="7432" width="13.42578125" style="133" bestFit="1" customWidth="1"/>
    <col min="7433" max="7433" width="0" style="133" hidden="1" customWidth="1"/>
    <col min="7434" max="7672" width="9.140625" style="133"/>
    <col min="7673" max="7673" width="1.28515625" style="133" customWidth="1"/>
    <col min="7674" max="7674" width="11.5703125" style="133" customWidth="1"/>
    <col min="7675" max="7675" width="14.28515625" style="133" customWidth="1"/>
    <col min="7676" max="7676" width="6.28515625" style="133" customWidth="1"/>
    <col min="7677" max="7677" width="4" style="133" customWidth="1"/>
    <col min="7678" max="7678" width="4.85546875" style="133" customWidth="1"/>
    <col min="7679" max="7679" width="5.28515625" style="133" customWidth="1"/>
    <col min="7680" max="7680" width="2" style="133" customWidth="1"/>
    <col min="7681" max="7681" width="13.140625" style="133" customWidth="1"/>
    <col min="7682" max="7682" width="7" style="133" customWidth="1"/>
    <col min="7683" max="7683" width="0.85546875" style="133" customWidth="1"/>
    <col min="7684" max="7684" width="7.42578125" style="133" bestFit="1" customWidth="1"/>
    <col min="7685" max="7685" width="1" style="133" customWidth="1"/>
    <col min="7686" max="7686" width="12.42578125" style="133" customWidth="1"/>
    <col min="7687" max="7687" width="11.7109375" style="133" bestFit="1" customWidth="1"/>
    <col min="7688" max="7688" width="13.42578125" style="133" bestFit="1" customWidth="1"/>
    <col min="7689" max="7689" width="0" style="133" hidden="1" customWidth="1"/>
    <col min="7690" max="7928" width="9.140625" style="133"/>
    <col min="7929" max="7929" width="1.28515625" style="133" customWidth="1"/>
    <col min="7930" max="7930" width="11.5703125" style="133" customWidth="1"/>
    <col min="7931" max="7931" width="14.28515625" style="133" customWidth="1"/>
    <col min="7932" max="7932" width="6.28515625" style="133" customWidth="1"/>
    <col min="7933" max="7933" width="4" style="133" customWidth="1"/>
    <col min="7934" max="7934" width="4.85546875" style="133" customWidth="1"/>
    <col min="7935" max="7935" width="5.28515625" style="133" customWidth="1"/>
    <col min="7936" max="7936" width="2" style="133" customWidth="1"/>
    <col min="7937" max="7937" width="13.140625" style="133" customWidth="1"/>
    <col min="7938" max="7938" width="7" style="133" customWidth="1"/>
    <col min="7939" max="7939" width="0.85546875" style="133" customWidth="1"/>
    <col min="7940" max="7940" width="7.42578125" style="133" bestFit="1" customWidth="1"/>
    <col min="7941" max="7941" width="1" style="133" customWidth="1"/>
    <col min="7942" max="7942" width="12.42578125" style="133" customWidth="1"/>
    <col min="7943" max="7943" width="11.7109375" style="133" bestFit="1" customWidth="1"/>
    <col min="7944" max="7944" width="13.42578125" style="133" bestFit="1" customWidth="1"/>
    <col min="7945" max="7945" width="0" style="133" hidden="1" customWidth="1"/>
    <col min="7946" max="8184" width="9.140625" style="133"/>
    <col min="8185" max="8185" width="1.28515625" style="133" customWidth="1"/>
    <col min="8186" max="8186" width="11.5703125" style="133" customWidth="1"/>
    <col min="8187" max="8187" width="14.28515625" style="133" customWidth="1"/>
    <col min="8188" max="8188" width="6.28515625" style="133" customWidth="1"/>
    <col min="8189" max="8189" width="4" style="133" customWidth="1"/>
    <col min="8190" max="8190" width="4.85546875" style="133" customWidth="1"/>
    <col min="8191" max="8191" width="5.28515625" style="133" customWidth="1"/>
    <col min="8192" max="8192" width="2" style="133" customWidth="1"/>
    <col min="8193" max="8193" width="13.140625" style="133" customWidth="1"/>
    <col min="8194" max="8194" width="7" style="133" customWidth="1"/>
    <col min="8195" max="8195" width="0.85546875" style="133" customWidth="1"/>
    <col min="8196" max="8196" width="7.42578125" style="133" bestFit="1" customWidth="1"/>
    <col min="8197" max="8197" width="1" style="133" customWidth="1"/>
    <col min="8198" max="8198" width="12.42578125" style="133" customWidth="1"/>
    <col min="8199" max="8199" width="11.7109375" style="133" bestFit="1" customWidth="1"/>
    <col min="8200" max="8200" width="13.42578125" style="133" bestFit="1" customWidth="1"/>
    <col min="8201" max="8201" width="0" style="133" hidden="1" customWidth="1"/>
    <col min="8202" max="8440" width="9.140625" style="133"/>
    <col min="8441" max="8441" width="1.28515625" style="133" customWidth="1"/>
    <col min="8442" max="8442" width="11.5703125" style="133" customWidth="1"/>
    <col min="8443" max="8443" width="14.28515625" style="133" customWidth="1"/>
    <col min="8444" max="8444" width="6.28515625" style="133" customWidth="1"/>
    <col min="8445" max="8445" width="4" style="133" customWidth="1"/>
    <col min="8446" max="8446" width="4.85546875" style="133" customWidth="1"/>
    <col min="8447" max="8447" width="5.28515625" style="133" customWidth="1"/>
    <col min="8448" max="8448" width="2" style="133" customWidth="1"/>
    <col min="8449" max="8449" width="13.140625" style="133" customWidth="1"/>
    <col min="8450" max="8450" width="7" style="133" customWidth="1"/>
    <col min="8451" max="8451" width="0.85546875" style="133" customWidth="1"/>
    <col min="8452" max="8452" width="7.42578125" style="133" bestFit="1" customWidth="1"/>
    <col min="8453" max="8453" width="1" style="133" customWidth="1"/>
    <col min="8454" max="8454" width="12.42578125" style="133" customWidth="1"/>
    <col min="8455" max="8455" width="11.7109375" style="133" bestFit="1" customWidth="1"/>
    <col min="8456" max="8456" width="13.42578125" style="133" bestFit="1" customWidth="1"/>
    <col min="8457" max="8457" width="0" style="133" hidden="1" customWidth="1"/>
    <col min="8458" max="8696" width="9.140625" style="133"/>
    <col min="8697" max="8697" width="1.28515625" style="133" customWidth="1"/>
    <col min="8698" max="8698" width="11.5703125" style="133" customWidth="1"/>
    <col min="8699" max="8699" width="14.28515625" style="133" customWidth="1"/>
    <col min="8700" max="8700" width="6.28515625" style="133" customWidth="1"/>
    <col min="8701" max="8701" width="4" style="133" customWidth="1"/>
    <col min="8702" max="8702" width="4.85546875" style="133" customWidth="1"/>
    <col min="8703" max="8703" width="5.28515625" style="133" customWidth="1"/>
    <col min="8704" max="8704" width="2" style="133" customWidth="1"/>
    <col min="8705" max="8705" width="13.140625" style="133" customWidth="1"/>
    <col min="8706" max="8706" width="7" style="133" customWidth="1"/>
    <col min="8707" max="8707" width="0.85546875" style="133" customWidth="1"/>
    <col min="8708" max="8708" width="7.42578125" style="133" bestFit="1" customWidth="1"/>
    <col min="8709" max="8709" width="1" style="133" customWidth="1"/>
    <col min="8710" max="8710" width="12.42578125" style="133" customWidth="1"/>
    <col min="8711" max="8711" width="11.7109375" style="133" bestFit="1" customWidth="1"/>
    <col min="8712" max="8712" width="13.42578125" style="133" bestFit="1" customWidth="1"/>
    <col min="8713" max="8713" width="0" style="133" hidden="1" customWidth="1"/>
    <col min="8714" max="8952" width="9.140625" style="133"/>
    <col min="8953" max="8953" width="1.28515625" style="133" customWidth="1"/>
    <col min="8954" max="8954" width="11.5703125" style="133" customWidth="1"/>
    <col min="8955" max="8955" width="14.28515625" style="133" customWidth="1"/>
    <col min="8956" max="8956" width="6.28515625" style="133" customWidth="1"/>
    <col min="8957" max="8957" width="4" style="133" customWidth="1"/>
    <col min="8958" max="8958" width="4.85546875" style="133" customWidth="1"/>
    <col min="8959" max="8959" width="5.28515625" style="133" customWidth="1"/>
    <col min="8960" max="8960" width="2" style="133" customWidth="1"/>
    <col min="8961" max="8961" width="13.140625" style="133" customWidth="1"/>
    <col min="8962" max="8962" width="7" style="133" customWidth="1"/>
    <col min="8963" max="8963" width="0.85546875" style="133" customWidth="1"/>
    <col min="8964" max="8964" width="7.42578125" style="133" bestFit="1" customWidth="1"/>
    <col min="8965" max="8965" width="1" style="133" customWidth="1"/>
    <col min="8966" max="8966" width="12.42578125" style="133" customWidth="1"/>
    <col min="8967" max="8967" width="11.7109375" style="133" bestFit="1" customWidth="1"/>
    <col min="8968" max="8968" width="13.42578125" style="133" bestFit="1" customWidth="1"/>
    <col min="8969" max="8969" width="0" style="133" hidden="1" customWidth="1"/>
    <col min="8970" max="9208" width="9.140625" style="133"/>
    <col min="9209" max="9209" width="1.28515625" style="133" customWidth="1"/>
    <col min="9210" max="9210" width="11.5703125" style="133" customWidth="1"/>
    <col min="9211" max="9211" width="14.28515625" style="133" customWidth="1"/>
    <col min="9212" max="9212" width="6.28515625" style="133" customWidth="1"/>
    <col min="9213" max="9213" width="4" style="133" customWidth="1"/>
    <col min="9214" max="9214" width="4.85546875" style="133" customWidth="1"/>
    <col min="9215" max="9215" width="5.28515625" style="133" customWidth="1"/>
    <col min="9216" max="9216" width="2" style="133" customWidth="1"/>
    <col min="9217" max="9217" width="13.140625" style="133" customWidth="1"/>
    <col min="9218" max="9218" width="7" style="133" customWidth="1"/>
    <col min="9219" max="9219" width="0.85546875" style="133" customWidth="1"/>
    <col min="9220" max="9220" width="7.42578125" style="133" bestFit="1" customWidth="1"/>
    <col min="9221" max="9221" width="1" style="133" customWidth="1"/>
    <col min="9222" max="9222" width="12.42578125" style="133" customWidth="1"/>
    <col min="9223" max="9223" width="11.7109375" style="133" bestFit="1" customWidth="1"/>
    <col min="9224" max="9224" width="13.42578125" style="133" bestFit="1" customWidth="1"/>
    <col min="9225" max="9225" width="0" style="133" hidden="1" customWidth="1"/>
    <col min="9226" max="9464" width="9.140625" style="133"/>
    <col min="9465" max="9465" width="1.28515625" style="133" customWidth="1"/>
    <col min="9466" max="9466" width="11.5703125" style="133" customWidth="1"/>
    <col min="9467" max="9467" width="14.28515625" style="133" customWidth="1"/>
    <col min="9468" max="9468" width="6.28515625" style="133" customWidth="1"/>
    <col min="9469" max="9469" width="4" style="133" customWidth="1"/>
    <col min="9470" max="9470" width="4.85546875" style="133" customWidth="1"/>
    <col min="9471" max="9471" width="5.28515625" style="133" customWidth="1"/>
    <col min="9472" max="9472" width="2" style="133" customWidth="1"/>
    <col min="9473" max="9473" width="13.140625" style="133" customWidth="1"/>
    <col min="9474" max="9474" width="7" style="133" customWidth="1"/>
    <col min="9475" max="9475" width="0.85546875" style="133" customWidth="1"/>
    <col min="9476" max="9476" width="7.42578125" style="133" bestFit="1" customWidth="1"/>
    <col min="9477" max="9477" width="1" style="133" customWidth="1"/>
    <col min="9478" max="9478" width="12.42578125" style="133" customWidth="1"/>
    <col min="9479" max="9479" width="11.7109375" style="133" bestFit="1" customWidth="1"/>
    <col min="9480" max="9480" width="13.42578125" style="133" bestFit="1" customWidth="1"/>
    <col min="9481" max="9481" width="0" style="133" hidden="1" customWidth="1"/>
    <col min="9482" max="9720" width="9.140625" style="133"/>
    <col min="9721" max="9721" width="1.28515625" style="133" customWidth="1"/>
    <col min="9722" max="9722" width="11.5703125" style="133" customWidth="1"/>
    <col min="9723" max="9723" width="14.28515625" style="133" customWidth="1"/>
    <col min="9724" max="9724" width="6.28515625" style="133" customWidth="1"/>
    <col min="9725" max="9725" width="4" style="133" customWidth="1"/>
    <col min="9726" max="9726" width="4.85546875" style="133" customWidth="1"/>
    <col min="9727" max="9727" width="5.28515625" style="133" customWidth="1"/>
    <col min="9728" max="9728" width="2" style="133" customWidth="1"/>
    <col min="9729" max="9729" width="13.140625" style="133" customWidth="1"/>
    <col min="9730" max="9730" width="7" style="133" customWidth="1"/>
    <col min="9731" max="9731" width="0.85546875" style="133" customWidth="1"/>
    <col min="9732" max="9732" width="7.42578125" style="133" bestFit="1" customWidth="1"/>
    <col min="9733" max="9733" width="1" style="133" customWidth="1"/>
    <col min="9734" max="9734" width="12.42578125" style="133" customWidth="1"/>
    <col min="9735" max="9735" width="11.7109375" style="133" bestFit="1" customWidth="1"/>
    <col min="9736" max="9736" width="13.42578125" style="133" bestFit="1" customWidth="1"/>
    <col min="9737" max="9737" width="0" style="133" hidden="1" customWidth="1"/>
    <col min="9738" max="9976" width="9.140625" style="133"/>
    <col min="9977" max="9977" width="1.28515625" style="133" customWidth="1"/>
    <col min="9978" max="9978" width="11.5703125" style="133" customWidth="1"/>
    <col min="9979" max="9979" width="14.28515625" style="133" customWidth="1"/>
    <col min="9980" max="9980" width="6.28515625" style="133" customWidth="1"/>
    <col min="9981" max="9981" width="4" style="133" customWidth="1"/>
    <col min="9982" max="9982" width="4.85546875" style="133" customWidth="1"/>
    <col min="9983" max="9983" width="5.28515625" style="133" customWidth="1"/>
    <col min="9984" max="9984" width="2" style="133" customWidth="1"/>
    <col min="9985" max="9985" width="13.140625" style="133" customWidth="1"/>
    <col min="9986" max="9986" width="7" style="133" customWidth="1"/>
    <col min="9987" max="9987" width="0.85546875" style="133" customWidth="1"/>
    <col min="9988" max="9988" width="7.42578125" style="133" bestFit="1" customWidth="1"/>
    <col min="9989" max="9989" width="1" style="133" customWidth="1"/>
    <col min="9990" max="9990" width="12.42578125" style="133" customWidth="1"/>
    <col min="9991" max="9991" width="11.7109375" style="133" bestFit="1" customWidth="1"/>
    <col min="9992" max="9992" width="13.42578125" style="133" bestFit="1" customWidth="1"/>
    <col min="9993" max="9993" width="0" style="133" hidden="1" customWidth="1"/>
    <col min="9994" max="10232" width="9.140625" style="133"/>
    <col min="10233" max="10233" width="1.28515625" style="133" customWidth="1"/>
    <col min="10234" max="10234" width="11.5703125" style="133" customWidth="1"/>
    <col min="10235" max="10235" width="14.28515625" style="133" customWidth="1"/>
    <col min="10236" max="10236" width="6.28515625" style="133" customWidth="1"/>
    <col min="10237" max="10237" width="4" style="133" customWidth="1"/>
    <col min="10238" max="10238" width="4.85546875" style="133" customWidth="1"/>
    <col min="10239" max="10239" width="5.28515625" style="133" customWidth="1"/>
    <col min="10240" max="10240" width="2" style="133" customWidth="1"/>
    <col min="10241" max="10241" width="13.140625" style="133" customWidth="1"/>
    <col min="10242" max="10242" width="7" style="133" customWidth="1"/>
    <col min="10243" max="10243" width="0.85546875" style="133" customWidth="1"/>
    <col min="10244" max="10244" width="7.42578125" style="133" bestFit="1" customWidth="1"/>
    <col min="10245" max="10245" width="1" style="133" customWidth="1"/>
    <col min="10246" max="10246" width="12.42578125" style="133" customWidth="1"/>
    <col min="10247" max="10247" width="11.7109375" style="133" bestFit="1" customWidth="1"/>
    <col min="10248" max="10248" width="13.42578125" style="133" bestFit="1" customWidth="1"/>
    <col min="10249" max="10249" width="0" style="133" hidden="1" customWidth="1"/>
    <col min="10250" max="10488" width="9.140625" style="133"/>
    <col min="10489" max="10489" width="1.28515625" style="133" customWidth="1"/>
    <col min="10490" max="10490" width="11.5703125" style="133" customWidth="1"/>
    <col min="10491" max="10491" width="14.28515625" style="133" customWidth="1"/>
    <col min="10492" max="10492" width="6.28515625" style="133" customWidth="1"/>
    <col min="10493" max="10493" width="4" style="133" customWidth="1"/>
    <col min="10494" max="10494" width="4.85546875" style="133" customWidth="1"/>
    <col min="10495" max="10495" width="5.28515625" style="133" customWidth="1"/>
    <col min="10496" max="10496" width="2" style="133" customWidth="1"/>
    <col min="10497" max="10497" width="13.140625" style="133" customWidth="1"/>
    <col min="10498" max="10498" width="7" style="133" customWidth="1"/>
    <col min="10499" max="10499" width="0.85546875" style="133" customWidth="1"/>
    <col min="10500" max="10500" width="7.42578125" style="133" bestFit="1" customWidth="1"/>
    <col min="10501" max="10501" width="1" style="133" customWidth="1"/>
    <col min="10502" max="10502" width="12.42578125" style="133" customWidth="1"/>
    <col min="10503" max="10503" width="11.7109375" style="133" bestFit="1" customWidth="1"/>
    <col min="10504" max="10504" width="13.42578125" style="133" bestFit="1" customWidth="1"/>
    <col min="10505" max="10505" width="0" style="133" hidden="1" customWidth="1"/>
    <col min="10506" max="10744" width="9.140625" style="133"/>
    <col min="10745" max="10745" width="1.28515625" style="133" customWidth="1"/>
    <col min="10746" max="10746" width="11.5703125" style="133" customWidth="1"/>
    <col min="10747" max="10747" width="14.28515625" style="133" customWidth="1"/>
    <col min="10748" max="10748" width="6.28515625" style="133" customWidth="1"/>
    <col min="10749" max="10749" width="4" style="133" customWidth="1"/>
    <col min="10750" max="10750" width="4.85546875" style="133" customWidth="1"/>
    <col min="10751" max="10751" width="5.28515625" style="133" customWidth="1"/>
    <col min="10752" max="10752" width="2" style="133" customWidth="1"/>
    <col min="10753" max="10753" width="13.140625" style="133" customWidth="1"/>
    <col min="10754" max="10754" width="7" style="133" customWidth="1"/>
    <col min="10755" max="10755" width="0.85546875" style="133" customWidth="1"/>
    <col min="10756" max="10756" width="7.42578125" style="133" bestFit="1" customWidth="1"/>
    <col min="10757" max="10757" width="1" style="133" customWidth="1"/>
    <col min="10758" max="10758" width="12.42578125" style="133" customWidth="1"/>
    <col min="10759" max="10759" width="11.7109375" style="133" bestFit="1" customWidth="1"/>
    <col min="10760" max="10760" width="13.42578125" style="133" bestFit="1" customWidth="1"/>
    <col min="10761" max="10761" width="0" style="133" hidden="1" customWidth="1"/>
    <col min="10762" max="11000" width="9.140625" style="133"/>
    <col min="11001" max="11001" width="1.28515625" style="133" customWidth="1"/>
    <col min="11002" max="11002" width="11.5703125" style="133" customWidth="1"/>
    <col min="11003" max="11003" width="14.28515625" style="133" customWidth="1"/>
    <col min="11004" max="11004" width="6.28515625" style="133" customWidth="1"/>
    <col min="11005" max="11005" width="4" style="133" customWidth="1"/>
    <col min="11006" max="11006" width="4.85546875" style="133" customWidth="1"/>
    <col min="11007" max="11007" width="5.28515625" style="133" customWidth="1"/>
    <col min="11008" max="11008" width="2" style="133" customWidth="1"/>
    <col min="11009" max="11009" width="13.140625" style="133" customWidth="1"/>
    <col min="11010" max="11010" width="7" style="133" customWidth="1"/>
    <col min="11011" max="11011" width="0.85546875" style="133" customWidth="1"/>
    <col min="11012" max="11012" width="7.42578125" style="133" bestFit="1" customWidth="1"/>
    <col min="11013" max="11013" width="1" style="133" customWidth="1"/>
    <col min="11014" max="11014" width="12.42578125" style="133" customWidth="1"/>
    <col min="11015" max="11015" width="11.7109375" style="133" bestFit="1" customWidth="1"/>
    <col min="11016" max="11016" width="13.42578125" style="133" bestFit="1" customWidth="1"/>
    <col min="11017" max="11017" width="0" style="133" hidden="1" customWidth="1"/>
    <col min="11018" max="11256" width="9.140625" style="133"/>
    <col min="11257" max="11257" width="1.28515625" style="133" customWidth="1"/>
    <col min="11258" max="11258" width="11.5703125" style="133" customWidth="1"/>
    <col min="11259" max="11259" width="14.28515625" style="133" customWidth="1"/>
    <col min="11260" max="11260" width="6.28515625" style="133" customWidth="1"/>
    <col min="11261" max="11261" width="4" style="133" customWidth="1"/>
    <col min="11262" max="11262" width="4.85546875" style="133" customWidth="1"/>
    <col min="11263" max="11263" width="5.28515625" style="133" customWidth="1"/>
    <col min="11264" max="11264" width="2" style="133" customWidth="1"/>
    <col min="11265" max="11265" width="13.140625" style="133" customWidth="1"/>
    <col min="11266" max="11266" width="7" style="133" customWidth="1"/>
    <col min="11267" max="11267" width="0.85546875" style="133" customWidth="1"/>
    <col min="11268" max="11268" width="7.42578125" style="133" bestFit="1" customWidth="1"/>
    <col min="11269" max="11269" width="1" style="133" customWidth="1"/>
    <col min="11270" max="11270" width="12.42578125" style="133" customWidth="1"/>
    <col min="11271" max="11271" width="11.7109375" style="133" bestFit="1" customWidth="1"/>
    <col min="11272" max="11272" width="13.42578125" style="133" bestFit="1" customWidth="1"/>
    <col min="11273" max="11273" width="0" style="133" hidden="1" customWidth="1"/>
    <col min="11274" max="11512" width="9.140625" style="133"/>
    <col min="11513" max="11513" width="1.28515625" style="133" customWidth="1"/>
    <col min="11514" max="11514" width="11.5703125" style="133" customWidth="1"/>
    <col min="11515" max="11515" width="14.28515625" style="133" customWidth="1"/>
    <col min="11516" max="11516" width="6.28515625" style="133" customWidth="1"/>
    <col min="11517" max="11517" width="4" style="133" customWidth="1"/>
    <col min="11518" max="11518" width="4.85546875" style="133" customWidth="1"/>
    <col min="11519" max="11519" width="5.28515625" style="133" customWidth="1"/>
    <col min="11520" max="11520" width="2" style="133" customWidth="1"/>
    <col min="11521" max="11521" width="13.140625" style="133" customWidth="1"/>
    <col min="11522" max="11522" width="7" style="133" customWidth="1"/>
    <col min="11523" max="11523" width="0.85546875" style="133" customWidth="1"/>
    <col min="11524" max="11524" width="7.42578125" style="133" bestFit="1" customWidth="1"/>
    <col min="11525" max="11525" width="1" style="133" customWidth="1"/>
    <col min="11526" max="11526" width="12.42578125" style="133" customWidth="1"/>
    <col min="11527" max="11527" width="11.7109375" style="133" bestFit="1" customWidth="1"/>
    <col min="11528" max="11528" width="13.42578125" style="133" bestFit="1" customWidth="1"/>
    <col min="11529" max="11529" width="0" style="133" hidden="1" customWidth="1"/>
    <col min="11530" max="11768" width="9.140625" style="133"/>
    <col min="11769" max="11769" width="1.28515625" style="133" customWidth="1"/>
    <col min="11770" max="11770" width="11.5703125" style="133" customWidth="1"/>
    <col min="11771" max="11771" width="14.28515625" style="133" customWidth="1"/>
    <col min="11772" max="11772" width="6.28515625" style="133" customWidth="1"/>
    <col min="11773" max="11773" width="4" style="133" customWidth="1"/>
    <col min="11774" max="11774" width="4.85546875" style="133" customWidth="1"/>
    <col min="11775" max="11775" width="5.28515625" style="133" customWidth="1"/>
    <col min="11776" max="11776" width="2" style="133" customWidth="1"/>
    <col min="11777" max="11777" width="13.140625" style="133" customWidth="1"/>
    <col min="11778" max="11778" width="7" style="133" customWidth="1"/>
    <col min="11779" max="11779" width="0.85546875" style="133" customWidth="1"/>
    <col min="11780" max="11780" width="7.42578125" style="133" bestFit="1" customWidth="1"/>
    <col min="11781" max="11781" width="1" style="133" customWidth="1"/>
    <col min="11782" max="11782" width="12.42578125" style="133" customWidth="1"/>
    <col min="11783" max="11783" width="11.7109375" style="133" bestFit="1" customWidth="1"/>
    <col min="11784" max="11784" width="13.42578125" style="133" bestFit="1" customWidth="1"/>
    <col min="11785" max="11785" width="0" style="133" hidden="1" customWidth="1"/>
    <col min="11786" max="12024" width="9.140625" style="133"/>
    <col min="12025" max="12025" width="1.28515625" style="133" customWidth="1"/>
    <col min="12026" max="12026" width="11.5703125" style="133" customWidth="1"/>
    <col min="12027" max="12027" width="14.28515625" style="133" customWidth="1"/>
    <col min="12028" max="12028" width="6.28515625" style="133" customWidth="1"/>
    <col min="12029" max="12029" width="4" style="133" customWidth="1"/>
    <col min="12030" max="12030" width="4.85546875" style="133" customWidth="1"/>
    <col min="12031" max="12031" width="5.28515625" style="133" customWidth="1"/>
    <col min="12032" max="12032" width="2" style="133" customWidth="1"/>
    <col min="12033" max="12033" width="13.140625" style="133" customWidth="1"/>
    <col min="12034" max="12034" width="7" style="133" customWidth="1"/>
    <col min="12035" max="12035" width="0.85546875" style="133" customWidth="1"/>
    <col min="12036" max="12036" width="7.42578125" style="133" bestFit="1" customWidth="1"/>
    <col min="12037" max="12037" width="1" style="133" customWidth="1"/>
    <col min="12038" max="12038" width="12.42578125" style="133" customWidth="1"/>
    <col min="12039" max="12039" width="11.7109375" style="133" bestFit="1" customWidth="1"/>
    <col min="12040" max="12040" width="13.42578125" style="133" bestFit="1" customWidth="1"/>
    <col min="12041" max="12041" width="0" style="133" hidden="1" customWidth="1"/>
    <col min="12042" max="12280" width="9.140625" style="133"/>
    <col min="12281" max="12281" width="1.28515625" style="133" customWidth="1"/>
    <col min="12282" max="12282" width="11.5703125" style="133" customWidth="1"/>
    <col min="12283" max="12283" width="14.28515625" style="133" customWidth="1"/>
    <col min="12284" max="12284" width="6.28515625" style="133" customWidth="1"/>
    <col min="12285" max="12285" width="4" style="133" customWidth="1"/>
    <col min="12286" max="12286" width="4.85546875" style="133" customWidth="1"/>
    <col min="12287" max="12287" width="5.28515625" style="133" customWidth="1"/>
    <col min="12288" max="12288" width="2" style="133" customWidth="1"/>
    <col min="12289" max="12289" width="13.140625" style="133" customWidth="1"/>
    <col min="12290" max="12290" width="7" style="133" customWidth="1"/>
    <col min="12291" max="12291" width="0.85546875" style="133" customWidth="1"/>
    <col min="12292" max="12292" width="7.42578125" style="133" bestFit="1" customWidth="1"/>
    <col min="12293" max="12293" width="1" style="133" customWidth="1"/>
    <col min="12294" max="12294" width="12.42578125" style="133" customWidth="1"/>
    <col min="12295" max="12295" width="11.7109375" style="133" bestFit="1" customWidth="1"/>
    <col min="12296" max="12296" width="13.42578125" style="133" bestFit="1" customWidth="1"/>
    <col min="12297" max="12297" width="0" style="133" hidden="1" customWidth="1"/>
    <col min="12298" max="12536" width="9.140625" style="133"/>
    <col min="12537" max="12537" width="1.28515625" style="133" customWidth="1"/>
    <col min="12538" max="12538" width="11.5703125" style="133" customWidth="1"/>
    <col min="12539" max="12539" width="14.28515625" style="133" customWidth="1"/>
    <col min="12540" max="12540" width="6.28515625" style="133" customWidth="1"/>
    <col min="12541" max="12541" width="4" style="133" customWidth="1"/>
    <col min="12542" max="12542" width="4.85546875" style="133" customWidth="1"/>
    <col min="12543" max="12543" width="5.28515625" style="133" customWidth="1"/>
    <col min="12544" max="12544" width="2" style="133" customWidth="1"/>
    <col min="12545" max="12545" width="13.140625" style="133" customWidth="1"/>
    <col min="12546" max="12546" width="7" style="133" customWidth="1"/>
    <col min="12547" max="12547" width="0.85546875" style="133" customWidth="1"/>
    <col min="12548" max="12548" width="7.42578125" style="133" bestFit="1" customWidth="1"/>
    <col min="12549" max="12549" width="1" style="133" customWidth="1"/>
    <col min="12550" max="12550" width="12.42578125" style="133" customWidth="1"/>
    <col min="12551" max="12551" width="11.7109375" style="133" bestFit="1" customWidth="1"/>
    <col min="12552" max="12552" width="13.42578125" style="133" bestFit="1" customWidth="1"/>
    <col min="12553" max="12553" width="0" style="133" hidden="1" customWidth="1"/>
    <col min="12554" max="12792" width="9.140625" style="133"/>
    <col min="12793" max="12793" width="1.28515625" style="133" customWidth="1"/>
    <col min="12794" max="12794" width="11.5703125" style="133" customWidth="1"/>
    <col min="12795" max="12795" width="14.28515625" style="133" customWidth="1"/>
    <col min="12796" max="12796" width="6.28515625" style="133" customWidth="1"/>
    <col min="12797" max="12797" width="4" style="133" customWidth="1"/>
    <col min="12798" max="12798" width="4.85546875" style="133" customWidth="1"/>
    <col min="12799" max="12799" width="5.28515625" style="133" customWidth="1"/>
    <col min="12800" max="12800" width="2" style="133" customWidth="1"/>
    <col min="12801" max="12801" width="13.140625" style="133" customWidth="1"/>
    <col min="12802" max="12802" width="7" style="133" customWidth="1"/>
    <col min="12803" max="12803" width="0.85546875" style="133" customWidth="1"/>
    <col min="12804" max="12804" width="7.42578125" style="133" bestFit="1" customWidth="1"/>
    <col min="12805" max="12805" width="1" style="133" customWidth="1"/>
    <col min="12806" max="12806" width="12.42578125" style="133" customWidth="1"/>
    <col min="12807" max="12807" width="11.7109375" style="133" bestFit="1" customWidth="1"/>
    <col min="12808" max="12808" width="13.42578125" style="133" bestFit="1" customWidth="1"/>
    <col min="12809" max="12809" width="0" style="133" hidden="1" customWidth="1"/>
    <col min="12810" max="13048" width="9.140625" style="133"/>
    <col min="13049" max="13049" width="1.28515625" style="133" customWidth="1"/>
    <col min="13050" max="13050" width="11.5703125" style="133" customWidth="1"/>
    <col min="13051" max="13051" width="14.28515625" style="133" customWidth="1"/>
    <col min="13052" max="13052" width="6.28515625" style="133" customWidth="1"/>
    <col min="13053" max="13053" width="4" style="133" customWidth="1"/>
    <col min="13054" max="13054" width="4.85546875" style="133" customWidth="1"/>
    <col min="13055" max="13055" width="5.28515625" style="133" customWidth="1"/>
    <col min="13056" max="13056" width="2" style="133" customWidth="1"/>
    <col min="13057" max="13057" width="13.140625" style="133" customWidth="1"/>
    <col min="13058" max="13058" width="7" style="133" customWidth="1"/>
    <col min="13059" max="13059" width="0.85546875" style="133" customWidth="1"/>
    <col min="13060" max="13060" width="7.42578125" style="133" bestFit="1" customWidth="1"/>
    <col min="13061" max="13061" width="1" style="133" customWidth="1"/>
    <col min="13062" max="13062" width="12.42578125" style="133" customWidth="1"/>
    <col min="13063" max="13063" width="11.7109375" style="133" bestFit="1" customWidth="1"/>
    <col min="13064" max="13064" width="13.42578125" style="133" bestFit="1" customWidth="1"/>
    <col min="13065" max="13065" width="0" style="133" hidden="1" customWidth="1"/>
    <col min="13066" max="13304" width="9.140625" style="133"/>
    <col min="13305" max="13305" width="1.28515625" style="133" customWidth="1"/>
    <col min="13306" max="13306" width="11.5703125" style="133" customWidth="1"/>
    <col min="13307" max="13307" width="14.28515625" style="133" customWidth="1"/>
    <col min="13308" max="13308" width="6.28515625" style="133" customWidth="1"/>
    <col min="13309" max="13309" width="4" style="133" customWidth="1"/>
    <col min="13310" max="13310" width="4.85546875" style="133" customWidth="1"/>
    <col min="13311" max="13311" width="5.28515625" style="133" customWidth="1"/>
    <col min="13312" max="13312" width="2" style="133" customWidth="1"/>
    <col min="13313" max="13313" width="13.140625" style="133" customWidth="1"/>
    <col min="13314" max="13314" width="7" style="133" customWidth="1"/>
    <col min="13315" max="13315" width="0.85546875" style="133" customWidth="1"/>
    <col min="13316" max="13316" width="7.42578125" style="133" bestFit="1" customWidth="1"/>
    <col min="13317" max="13317" width="1" style="133" customWidth="1"/>
    <col min="13318" max="13318" width="12.42578125" style="133" customWidth="1"/>
    <col min="13319" max="13319" width="11.7109375" style="133" bestFit="1" customWidth="1"/>
    <col min="13320" max="13320" width="13.42578125" style="133" bestFit="1" customWidth="1"/>
    <col min="13321" max="13321" width="0" style="133" hidden="1" customWidth="1"/>
    <col min="13322" max="13560" width="9.140625" style="133"/>
    <col min="13561" max="13561" width="1.28515625" style="133" customWidth="1"/>
    <col min="13562" max="13562" width="11.5703125" style="133" customWidth="1"/>
    <col min="13563" max="13563" width="14.28515625" style="133" customWidth="1"/>
    <col min="13564" max="13564" width="6.28515625" style="133" customWidth="1"/>
    <col min="13565" max="13565" width="4" style="133" customWidth="1"/>
    <col min="13566" max="13566" width="4.85546875" style="133" customWidth="1"/>
    <col min="13567" max="13567" width="5.28515625" style="133" customWidth="1"/>
    <col min="13568" max="13568" width="2" style="133" customWidth="1"/>
    <col min="13569" max="13569" width="13.140625" style="133" customWidth="1"/>
    <col min="13570" max="13570" width="7" style="133" customWidth="1"/>
    <col min="13571" max="13571" width="0.85546875" style="133" customWidth="1"/>
    <col min="13572" max="13572" width="7.42578125" style="133" bestFit="1" customWidth="1"/>
    <col min="13573" max="13573" width="1" style="133" customWidth="1"/>
    <col min="13574" max="13574" width="12.42578125" style="133" customWidth="1"/>
    <col min="13575" max="13575" width="11.7109375" style="133" bestFit="1" customWidth="1"/>
    <col min="13576" max="13576" width="13.42578125" style="133" bestFit="1" customWidth="1"/>
    <col min="13577" max="13577" width="0" style="133" hidden="1" customWidth="1"/>
    <col min="13578" max="13816" width="9.140625" style="133"/>
    <col min="13817" max="13817" width="1.28515625" style="133" customWidth="1"/>
    <col min="13818" max="13818" width="11.5703125" style="133" customWidth="1"/>
    <col min="13819" max="13819" width="14.28515625" style="133" customWidth="1"/>
    <col min="13820" max="13820" width="6.28515625" style="133" customWidth="1"/>
    <col min="13821" max="13821" width="4" style="133" customWidth="1"/>
    <col min="13822" max="13822" width="4.85546875" style="133" customWidth="1"/>
    <col min="13823" max="13823" width="5.28515625" style="133" customWidth="1"/>
    <col min="13824" max="13824" width="2" style="133" customWidth="1"/>
    <col min="13825" max="13825" width="13.140625" style="133" customWidth="1"/>
    <col min="13826" max="13826" width="7" style="133" customWidth="1"/>
    <col min="13827" max="13827" width="0.85546875" style="133" customWidth="1"/>
    <col min="13828" max="13828" width="7.42578125" style="133" bestFit="1" customWidth="1"/>
    <col min="13829" max="13829" width="1" style="133" customWidth="1"/>
    <col min="13830" max="13830" width="12.42578125" style="133" customWidth="1"/>
    <col min="13831" max="13831" width="11.7109375" style="133" bestFit="1" customWidth="1"/>
    <col min="13832" max="13832" width="13.42578125" style="133" bestFit="1" customWidth="1"/>
    <col min="13833" max="13833" width="0" style="133" hidden="1" customWidth="1"/>
    <col min="13834" max="14072" width="9.140625" style="133"/>
    <col min="14073" max="14073" width="1.28515625" style="133" customWidth="1"/>
    <col min="14074" max="14074" width="11.5703125" style="133" customWidth="1"/>
    <col min="14075" max="14075" width="14.28515625" style="133" customWidth="1"/>
    <col min="14076" max="14076" width="6.28515625" style="133" customWidth="1"/>
    <col min="14077" max="14077" width="4" style="133" customWidth="1"/>
    <col min="14078" max="14078" width="4.85546875" style="133" customWidth="1"/>
    <col min="14079" max="14079" width="5.28515625" style="133" customWidth="1"/>
    <col min="14080" max="14080" width="2" style="133" customWidth="1"/>
    <col min="14081" max="14081" width="13.140625" style="133" customWidth="1"/>
    <col min="14082" max="14082" width="7" style="133" customWidth="1"/>
    <col min="14083" max="14083" width="0.85546875" style="133" customWidth="1"/>
    <col min="14084" max="14084" width="7.42578125" style="133" bestFit="1" customWidth="1"/>
    <col min="14085" max="14085" width="1" style="133" customWidth="1"/>
    <col min="14086" max="14086" width="12.42578125" style="133" customWidth="1"/>
    <col min="14087" max="14087" width="11.7109375" style="133" bestFit="1" customWidth="1"/>
    <col min="14088" max="14088" width="13.42578125" style="133" bestFit="1" customWidth="1"/>
    <col min="14089" max="14089" width="0" style="133" hidden="1" customWidth="1"/>
    <col min="14090" max="14328" width="9.140625" style="133"/>
    <col min="14329" max="14329" width="1.28515625" style="133" customWidth="1"/>
    <col min="14330" max="14330" width="11.5703125" style="133" customWidth="1"/>
    <col min="14331" max="14331" width="14.28515625" style="133" customWidth="1"/>
    <col min="14332" max="14332" width="6.28515625" style="133" customWidth="1"/>
    <col min="14333" max="14333" width="4" style="133" customWidth="1"/>
    <col min="14334" max="14334" width="4.85546875" style="133" customWidth="1"/>
    <col min="14335" max="14335" width="5.28515625" style="133" customWidth="1"/>
    <col min="14336" max="14336" width="2" style="133" customWidth="1"/>
    <col min="14337" max="14337" width="13.140625" style="133" customWidth="1"/>
    <col min="14338" max="14338" width="7" style="133" customWidth="1"/>
    <col min="14339" max="14339" width="0.85546875" style="133" customWidth="1"/>
    <col min="14340" max="14340" width="7.42578125" style="133" bestFit="1" customWidth="1"/>
    <col min="14341" max="14341" width="1" style="133" customWidth="1"/>
    <col min="14342" max="14342" width="12.42578125" style="133" customWidth="1"/>
    <col min="14343" max="14343" width="11.7109375" style="133" bestFit="1" customWidth="1"/>
    <col min="14344" max="14344" width="13.42578125" style="133" bestFit="1" customWidth="1"/>
    <col min="14345" max="14345" width="0" style="133" hidden="1" customWidth="1"/>
    <col min="14346" max="14584" width="9.140625" style="133"/>
    <col min="14585" max="14585" width="1.28515625" style="133" customWidth="1"/>
    <col min="14586" max="14586" width="11.5703125" style="133" customWidth="1"/>
    <col min="14587" max="14587" width="14.28515625" style="133" customWidth="1"/>
    <col min="14588" max="14588" width="6.28515625" style="133" customWidth="1"/>
    <col min="14589" max="14589" width="4" style="133" customWidth="1"/>
    <col min="14590" max="14590" width="4.85546875" style="133" customWidth="1"/>
    <col min="14591" max="14591" width="5.28515625" style="133" customWidth="1"/>
    <col min="14592" max="14592" width="2" style="133" customWidth="1"/>
    <col min="14593" max="14593" width="13.140625" style="133" customWidth="1"/>
    <col min="14594" max="14594" width="7" style="133" customWidth="1"/>
    <col min="14595" max="14595" width="0.85546875" style="133" customWidth="1"/>
    <col min="14596" max="14596" width="7.42578125" style="133" bestFit="1" customWidth="1"/>
    <col min="14597" max="14597" width="1" style="133" customWidth="1"/>
    <col min="14598" max="14598" width="12.42578125" style="133" customWidth="1"/>
    <col min="14599" max="14599" width="11.7109375" style="133" bestFit="1" customWidth="1"/>
    <col min="14600" max="14600" width="13.42578125" style="133" bestFit="1" customWidth="1"/>
    <col min="14601" max="14601" width="0" style="133" hidden="1" customWidth="1"/>
    <col min="14602" max="14840" width="9.140625" style="133"/>
    <col min="14841" max="14841" width="1.28515625" style="133" customWidth="1"/>
    <col min="14842" max="14842" width="11.5703125" style="133" customWidth="1"/>
    <col min="14843" max="14843" width="14.28515625" style="133" customWidth="1"/>
    <col min="14844" max="14844" width="6.28515625" style="133" customWidth="1"/>
    <col min="14845" max="14845" width="4" style="133" customWidth="1"/>
    <col min="14846" max="14846" width="4.85546875" style="133" customWidth="1"/>
    <col min="14847" max="14847" width="5.28515625" style="133" customWidth="1"/>
    <col min="14848" max="14848" width="2" style="133" customWidth="1"/>
    <col min="14849" max="14849" width="13.140625" style="133" customWidth="1"/>
    <col min="14850" max="14850" width="7" style="133" customWidth="1"/>
    <col min="14851" max="14851" width="0.85546875" style="133" customWidth="1"/>
    <col min="14852" max="14852" width="7.42578125" style="133" bestFit="1" customWidth="1"/>
    <col min="14853" max="14853" width="1" style="133" customWidth="1"/>
    <col min="14854" max="14854" width="12.42578125" style="133" customWidth="1"/>
    <col min="14855" max="14855" width="11.7109375" style="133" bestFit="1" customWidth="1"/>
    <col min="14856" max="14856" width="13.42578125" style="133" bestFit="1" customWidth="1"/>
    <col min="14857" max="14857" width="0" style="133" hidden="1" customWidth="1"/>
    <col min="14858" max="15096" width="9.140625" style="133"/>
    <col min="15097" max="15097" width="1.28515625" style="133" customWidth="1"/>
    <col min="15098" max="15098" width="11.5703125" style="133" customWidth="1"/>
    <col min="15099" max="15099" width="14.28515625" style="133" customWidth="1"/>
    <col min="15100" max="15100" width="6.28515625" style="133" customWidth="1"/>
    <col min="15101" max="15101" width="4" style="133" customWidth="1"/>
    <col min="15102" max="15102" width="4.85546875" style="133" customWidth="1"/>
    <col min="15103" max="15103" width="5.28515625" style="133" customWidth="1"/>
    <col min="15104" max="15104" width="2" style="133" customWidth="1"/>
    <col min="15105" max="15105" width="13.140625" style="133" customWidth="1"/>
    <col min="15106" max="15106" width="7" style="133" customWidth="1"/>
    <col min="15107" max="15107" width="0.85546875" style="133" customWidth="1"/>
    <col min="15108" max="15108" width="7.42578125" style="133" bestFit="1" customWidth="1"/>
    <col min="15109" max="15109" width="1" style="133" customWidth="1"/>
    <col min="15110" max="15110" width="12.42578125" style="133" customWidth="1"/>
    <col min="15111" max="15111" width="11.7109375" style="133" bestFit="1" customWidth="1"/>
    <col min="15112" max="15112" width="13.42578125" style="133" bestFit="1" customWidth="1"/>
    <col min="15113" max="15113" width="0" style="133" hidden="1" customWidth="1"/>
    <col min="15114" max="15352" width="9.140625" style="133"/>
    <col min="15353" max="15353" width="1.28515625" style="133" customWidth="1"/>
    <col min="15354" max="15354" width="11.5703125" style="133" customWidth="1"/>
    <col min="15355" max="15355" width="14.28515625" style="133" customWidth="1"/>
    <col min="15356" max="15356" width="6.28515625" style="133" customWidth="1"/>
    <col min="15357" max="15357" width="4" style="133" customWidth="1"/>
    <col min="15358" max="15358" width="4.85546875" style="133" customWidth="1"/>
    <col min="15359" max="15359" width="5.28515625" style="133" customWidth="1"/>
    <col min="15360" max="15360" width="2" style="133" customWidth="1"/>
    <col min="15361" max="15361" width="13.140625" style="133" customWidth="1"/>
    <col min="15362" max="15362" width="7" style="133" customWidth="1"/>
    <col min="15363" max="15363" width="0.85546875" style="133" customWidth="1"/>
    <col min="15364" max="15364" width="7.42578125" style="133" bestFit="1" customWidth="1"/>
    <col min="15365" max="15365" width="1" style="133" customWidth="1"/>
    <col min="15366" max="15366" width="12.42578125" style="133" customWidth="1"/>
    <col min="15367" max="15367" width="11.7109375" style="133" bestFit="1" customWidth="1"/>
    <col min="15368" max="15368" width="13.42578125" style="133" bestFit="1" customWidth="1"/>
    <col min="15369" max="15369" width="0" style="133" hidden="1" customWidth="1"/>
    <col min="15370" max="15608" width="9.140625" style="133"/>
    <col min="15609" max="15609" width="1.28515625" style="133" customWidth="1"/>
    <col min="15610" max="15610" width="11.5703125" style="133" customWidth="1"/>
    <col min="15611" max="15611" width="14.28515625" style="133" customWidth="1"/>
    <col min="15612" max="15612" width="6.28515625" style="133" customWidth="1"/>
    <col min="15613" max="15613" width="4" style="133" customWidth="1"/>
    <col min="15614" max="15614" width="4.85546875" style="133" customWidth="1"/>
    <col min="15615" max="15615" width="5.28515625" style="133" customWidth="1"/>
    <col min="15616" max="15616" width="2" style="133" customWidth="1"/>
    <col min="15617" max="15617" width="13.140625" style="133" customWidth="1"/>
    <col min="15618" max="15618" width="7" style="133" customWidth="1"/>
    <col min="15619" max="15619" width="0.85546875" style="133" customWidth="1"/>
    <col min="15620" max="15620" width="7.42578125" style="133" bestFit="1" customWidth="1"/>
    <col min="15621" max="15621" width="1" style="133" customWidth="1"/>
    <col min="15622" max="15622" width="12.42578125" style="133" customWidth="1"/>
    <col min="15623" max="15623" width="11.7109375" style="133" bestFit="1" customWidth="1"/>
    <col min="15624" max="15624" width="13.42578125" style="133" bestFit="1" customWidth="1"/>
    <col min="15625" max="15625" width="0" style="133" hidden="1" customWidth="1"/>
    <col min="15626" max="15864" width="9.140625" style="133"/>
    <col min="15865" max="15865" width="1.28515625" style="133" customWidth="1"/>
    <col min="15866" max="15866" width="11.5703125" style="133" customWidth="1"/>
    <col min="15867" max="15867" width="14.28515625" style="133" customWidth="1"/>
    <col min="15868" max="15868" width="6.28515625" style="133" customWidth="1"/>
    <col min="15869" max="15869" width="4" style="133" customWidth="1"/>
    <col min="15870" max="15870" width="4.85546875" style="133" customWidth="1"/>
    <col min="15871" max="15871" width="5.28515625" style="133" customWidth="1"/>
    <col min="15872" max="15872" width="2" style="133" customWidth="1"/>
    <col min="15873" max="15873" width="13.140625" style="133" customWidth="1"/>
    <col min="15874" max="15874" width="7" style="133" customWidth="1"/>
    <col min="15875" max="15875" width="0.85546875" style="133" customWidth="1"/>
    <col min="15876" max="15876" width="7.42578125" style="133" bestFit="1" customWidth="1"/>
    <col min="15877" max="15877" width="1" style="133" customWidth="1"/>
    <col min="15878" max="15878" width="12.42578125" style="133" customWidth="1"/>
    <col min="15879" max="15879" width="11.7109375" style="133" bestFit="1" customWidth="1"/>
    <col min="15880" max="15880" width="13.42578125" style="133" bestFit="1" customWidth="1"/>
    <col min="15881" max="15881" width="0" style="133" hidden="1" customWidth="1"/>
    <col min="15882" max="16120" width="9.140625" style="133"/>
    <col min="16121" max="16121" width="1.28515625" style="133" customWidth="1"/>
    <col min="16122" max="16122" width="11.5703125" style="133" customWidth="1"/>
    <col min="16123" max="16123" width="14.28515625" style="133" customWidth="1"/>
    <col min="16124" max="16124" width="6.28515625" style="133" customWidth="1"/>
    <col min="16125" max="16125" width="4" style="133" customWidth="1"/>
    <col min="16126" max="16126" width="4.85546875" style="133" customWidth="1"/>
    <col min="16127" max="16127" width="5.28515625" style="133" customWidth="1"/>
    <col min="16128" max="16128" width="2" style="133" customWidth="1"/>
    <col min="16129" max="16129" width="13.140625" style="133" customWidth="1"/>
    <col min="16130" max="16130" width="7" style="133" customWidth="1"/>
    <col min="16131" max="16131" width="0.85546875" style="133" customWidth="1"/>
    <col min="16132" max="16132" width="7.42578125" style="133" bestFit="1" customWidth="1"/>
    <col min="16133" max="16133" width="1" style="133" customWidth="1"/>
    <col min="16134" max="16134" width="12.42578125" style="133" customWidth="1"/>
    <col min="16135" max="16135" width="11.7109375" style="133" bestFit="1" customWidth="1"/>
    <col min="16136" max="16136" width="13.42578125" style="133" bestFit="1" customWidth="1"/>
    <col min="16137" max="16137" width="0" style="133" hidden="1" customWidth="1"/>
    <col min="16138" max="16384" width="9.140625" style="133"/>
  </cols>
  <sheetData>
    <row r="1" spans="1:11" ht="7.9" customHeight="1" x14ac:dyDescent="0.2"/>
    <row r="2" spans="1:11" ht="12.75" customHeight="1" x14ac:dyDescent="0.2">
      <c r="A2" s="157" t="s">
        <v>0</v>
      </c>
    </row>
    <row r="4" spans="1:11" ht="12.75" customHeight="1" x14ac:dyDescent="0.2">
      <c r="A4" s="157" t="s">
        <v>1</v>
      </c>
    </row>
    <row r="6" spans="1:11" ht="14.1" customHeight="1" x14ac:dyDescent="0.2">
      <c r="A6" s="157" t="s">
        <v>2</v>
      </c>
    </row>
    <row r="7" spans="1:11" ht="11.1" customHeight="1" x14ac:dyDescent="0.2"/>
    <row r="8" spans="1:11" ht="38.25" customHeight="1" x14ac:dyDescent="0.2">
      <c r="C8" s="171"/>
      <c r="D8" s="171"/>
    </row>
    <row r="9" spans="1:11" ht="33.75" customHeight="1" thickBot="1" x14ac:dyDescent="0.25">
      <c r="C9" s="169"/>
      <c r="D9" s="169"/>
      <c r="E9" s="169"/>
    </row>
    <row r="10" spans="1:11" ht="24" customHeight="1" thickTop="1" thickBot="1" x14ac:dyDescent="0.25">
      <c r="A10" s="170" t="s">
        <v>518</v>
      </c>
      <c r="B10" s="170"/>
      <c r="C10" s="134" t="s">
        <v>519</v>
      </c>
      <c r="D10" s="170" t="s">
        <v>520</v>
      </c>
      <c r="E10" s="170" t="s">
        <v>521</v>
      </c>
      <c r="F10" s="170"/>
    </row>
    <row r="11" spans="1:11" ht="14.25" customHeight="1" thickTop="1" thickBot="1" x14ac:dyDescent="0.25">
      <c r="A11" s="170" t="s">
        <v>522</v>
      </c>
      <c r="B11" s="170"/>
      <c r="C11" s="135" t="s">
        <v>523</v>
      </c>
      <c r="D11" s="170" t="s">
        <v>524</v>
      </c>
      <c r="E11" s="170" t="s">
        <v>525</v>
      </c>
      <c r="F11" s="170"/>
    </row>
    <row r="12" spans="1:11" ht="20.100000000000001" customHeight="1" thickTop="1" x14ac:dyDescent="0.2">
      <c r="A12" s="136"/>
      <c r="B12" s="158" t="s">
        <v>526</v>
      </c>
      <c r="C12" s="137">
        <f t="shared" ref="C12:D14" si="0">C13</f>
        <v>19001700</v>
      </c>
      <c r="D12" s="168">
        <f t="shared" si="0"/>
        <v>18527517.870000001</v>
      </c>
      <c r="E12" s="168">
        <f t="shared" ref="E12:E20" si="1">(D12/C12)*100</f>
        <v>97.504527858033768</v>
      </c>
      <c r="F12" s="168"/>
      <c r="G12" s="133">
        <v>18527524.670000002</v>
      </c>
      <c r="H12" s="154">
        <f>G12-D12</f>
        <v>6.8000000007450581</v>
      </c>
      <c r="J12" s="133">
        <v>18527411.98</v>
      </c>
      <c r="K12" s="154">
        <f>D12-J12</f>
        <v>105.89000000059605</v>
      </c>
    </row>
    <row r="13" spans="1:11" ht="26.25" customHeight="1" x14ac:dyDescent="0.2">
      <c r="A13" s="138" t="s">
        <v>527</v>
      </c>
      <c r="B13" s="138" t="s">
        <v>418</v>
      </c>
      <c r="C13" s="139">
        <f t="shared" si="0"/>
        <v>19001700</v>
      </c>
      <c r="D13" s="166">
        <f t="shared" si="0"/>
        <v>18527517.870000001</v>
      </c>
      <c r="E13" s="166">
        <f t="shared" si="1"/>
        <v>97.504527858033768</v>
      </c>
      <c r="F13" s="166"/>
    </row>
    <row r="14" spans="1:11" ht="12.75" customHeight="1" x14ac:dyDescent="0.2">
      <c r="A14" s="140" t="s">
        <v>528</v>
      </c>
      <c r="B14" s="140" t="s">
        <v>421</v>
      </c>
      <c r="C14" s="141">
        <f t="shared" si="0"/>
        <v>19001700</v>
      </c>
      <c r="D14" s="165">
        <f t="shared" si="0"/>
        <v>18527517.870000001</v>
      </c>
      <c r="E14" s="165">
        <f t="shared" si="1"/>
        <v>97.504527858033768</v>
      </c>
      <c r="F14" s="165"/>
    </row>
    <row r="15" spans="1:11" ht="33.75" x14ac:dyDescent="0.2">
      <c r="A15" s="140" t="s">
        <v>529</v>
      </c>
      <c r="B15" s="140" t="s">
        <v>0</v>
      </c>
      <c r="C15" s="141">
        <f>C16+C19+C25+C27+C30+C34+C36+C38</f>
        <v>19001700</v>
      </c>
      <c r="D15" s="165">
        <f>D16+D19+D25+D27++D30+D34+D36+D38</f>
        <v>18527517.870000001</v>
      </c>
      <c r="E15" s="165">
        <f t="shared" si="1"/>
        <v>97.504527858033768</v>
      </c>
      <c r="F15" s="165"/>
    </row>
    <row r="16" spans="1:11" ht="24.95" customHeight="1" x14ac:dyDescent="0.2">
      <c r="A16" s="142" t="s">
        <v>530</v>
      </c>
      <c r="B16" s="142" t="s">
        <v>488</v>
      </c>
      <c r="C16" s="143">
        <f>SUM(C17:C18)</f>
        <v>16383700</v>
      </c>
      <c r="D16" s="161">
        <f>SUM(D17:D18)</f>
        <v>16078946.33</v>
      </c>
      <c r="E16" s="161">
        <f t="shared" si="1"/>
        <v>98.13989715387855</v>
      </c>
      <c r="F16" s="161"/>
    </row>
    <row r="17" spans="1:12" ht="24.95" customHeight="1" x14ac:dyDescent="0.2">
      <c r="A17" s="144">
        <v>6711</v>
      </c>
      <c r="B17" s="146" t="s">
        <v>466</v>
      </c>
      <c r="C17" s="145">
        <v>15156900</v>
      </c>
      <c r="D17" s="160">
        <v>14935546.33</v>
      </c>
      <c r="E17" s="160">
        <f t="shared" si="1"/>
        <v>98.539584809558676</v>
      </c>
      <c r="F17" s="160"/>
    </row>
    <row r="18" spans="1:12" ht="36.75" customHeight="1" x14ac:dyDescent="0.2">
      <c r="A18" s="144">
        <v>6712</v>
      </c>
      <c r="B18" s="146" t="s">
        <v>467</v>
      </c>
      <c r="C18" s="145">
        <v>1226800</v>
      </c>
      <c r="D18" s="160">
        <v>1143400</v>
      </c>
      <c r="E18" s="160">
        <f t="shared" si="1"/>
        <v>93.20182588849039</v>
      </c>
      <c r="F18" s="160"/>
    </row>
    <row r="19" spans="1:12" ht="24.95" customHeight="1" x14ac:dyDescent="0.2">
      <c r="A19" s="142" t="s">
        <v>531</v>
      </c>
      <c r="B19" s="142" t="s">
        <v>426</v>
      </c>
      <c r="C19" s="143">
        <f>C23+C22+C21+C20</f>
        <v>18300</v>
      </c>
      <c r="D19" s="161">
        <v>18794.580000000002</v>
      </c>
      <c r="E19" s="161">
        <f t="shared" si="1"/>
        <v>102.70262295081969</v>
      </c>
      <c r="F19" s="161"/>
      <c r="G19" s="133">
        <v>18801.38</v>
      </c>
      <c r="H19" s="154">
        <f>G19-D19</f>
        <v>6.7999999999992724</v>
      </c>
    </row>
    <row r="20" spans="1:12" ht="24.95" customHeight="1" x14ac:dyDescent="0.2">
      <c r="A20" s="146" t="s">
        <v>280</v>
      </c>
      <c r="B20" s="146" t="s">
        <v>282</v>
      </c>
      <c r="C20" s="145">
        <v>100</v>
      </c>
      <c r="D20" s="160">
        <v>6.8</v>
      </c>
      <c r="E20" s="160">
        <f t="shared" si="1"/>
        <v>6.8000000000000007</v>
      </c>
      <c r="F20" s="160"/>
    </row>
    <row r="21" spans="1:12" ht="24.95" customHeight="1" x14ac:dyDescent="0.2">
      <c r="A21" s="147" t="s">
        <v>283</v>
      </c>
      <c r="B21" s="159" t="s">
        <v>285</v>
      </c>
      <c r="C21" s="145">
        <v>100</v>
      </c>
      <c r="D21" s="145"/>
      <c r="E21" s="145"/>
      <c r="F21" s="145">
        <v>0</v>
      </c>
      <c r="G21" s="147"/>
    </row>
    <row r="22" spans="1:12" ht="24.95" customHeight="1" x14ac:dyDescent="0.2">
      <c r="A22" s="146" t="s">
        <v>286</v>
      </c>
      <c r="B22" s="146" t="s">
        <v>288</v>
      </c>
      <c r="C22" s="145">
        <v>9600</v>
      </c>
      <c r="D22" s="160">
        <v>9576</v>
      </c>
      <c r="E22" s="160">
        <f>(D22/C22)*100</f>
        <v>99.75</v>
      </c>
      <c r="F22" s="160"/>
    </row>
    <row r="23" spans="1:12" ht="24.95" customHeight="1" x14ac:dyDescent="0.2">
      <c r="A23" s="144">
        <v>6615</v>
      </c>
      <c r="B23" s="146" t="s">
        <v>291</v>
      </c>
      <c r="C23" s="148">
        <v>8500</v>
      </c>
      <c r="D23" s="148">
        <v>8918.58</v>
      </c>
      <c r="E23" s="160" t="e">
        <f>(C23/#REF!)*100</f>
        <v>#REF!</v>
      </c>
      <c r="F23" s="160"/>
    </row>
    <row r="24" spans="1:12" ht="24.95" customHeight="1" x14ac:dyDescent="0.2">
      <c r="A24" s="144">
        <v>6831</v>
      </c>
      <c r="B24" s="146" t="s">
        <v>294</v>
      </c>
      <c r="C24" s="148">
        <v>0</v>
      </c>
      <c r="D24" s="148">
        <v>300</v>
      </c>
      <c r="E24" s="145"/>
      <c r="F24" s="145">
        <v>0</v>
      </c>
    </row>
    <row r="25" spans="1:12" ht="24.95" customHeight="1" x14ac:dyDescent="0.2">
      <c r="A25" s="142" t="s">
        <v>532</v>
      </c>
      <c r="B25" s="142" t="s">
        <v>434</v>
      </c>
      <c r="C25" s="149">
        <v>1111400</v>
      </c>
      <c r="D25" s="161">
        <v>1007068.96</v>
      </c>
      <c r="E25" s="161">
        <f t="shared" ref="E25:E35" si="2">(D25/C25)*100</f>
        <v>90.612647111750945</v>
      </c>
      <c r="F25" s="161"/>
    </row>
    <row r="26" spans="1:12" ht="24.95" customHeight="1" x14ac:dyDescent="0.2">
      <c r="A26" s="146" t="s">
        <v>295</v>
      </c>
      <c r="B26" s="146" t="s">
        <v>297</v>
      </c>
      <c r="C26" s="145">
        <v>1111400</v>
      </c>
      <c r="D26" s="160">
        <v>1007068.96</v>
      </c>
      <c r="E26" s="160">
        <f t="shared" si="2"/>
        <v>90.612647111750945</v>
      </c>
    </row>
    <row r="27" spans="1:12" ht="24.95" customHeight="1" x14ac:dyDescent="0.2">
      <c r="A27" s="142" t="s">
        <v>533</v>
      </c>
      <c r="B27" s="142" t="s">
        <v>440</v>
      </c>
      <c r="C27" s="143">
        <v>1347700</v>
      </c>
      <c r="D27" s="161">
        <v>1280996.07</v>
      </c>
      <c r="E27" s="161">
        <f t="shared" si="2"/>
        <v>95.050535727535816</v>
      </c>
      <c r="F27" s="161"/>
    </row>
    <row r="28" spans="1:12" ht="32.25" customHeight="1" x14ac:dyDescent="0.2">
      <c r="A28" s="146" t="s">
        <v>301</v>
      </c>
      <c r="B28" s="146" t="s">
        <v>303</v>
      </c>
      <c r="C28" s="145">
        <v>793700</v>
      </c>
      <c r="D28" s="160">
        <v>730309.56</v>
      </c>
      <c r="E28" s="160">
        <f t="shared" si="2"/>
        <v>92.01329973541641</v>
      </c>
      <c r="K28" s="150"/>
      <c r="L28" s="150"/>
    </row>
    <row r="29" spans="1:12" ht="36" customHeight="1" x14ac:dyDescent="0.2">
      <c r="A29" s="146" t="s">
        <v>304</v>
      </c>
      <c r="B29" s="146" t="s">
        <v>306</v>
      </c>
      <c r="C29" s="145">
        <v>554000</v>
      </c>
      <c r="D29" s="160">
        <v>550686.51</v>
      </c>
      <c r="E29" s="160">
        <f t="shared" si="2"/>
        <v>99.401897111913357</v>
      </c>
      <c r="K29" s="150"/>
      <c r="L29" s="150"/>
    </row>
    <row r="30" spans="1:12" ht="24.95" customHeight="1" x14ac:dyDescent="0.2">
      <c r="A30" s="142" t="s">
        <v>534</v>
      </c>
      <c r="B30" s="142" t="s">
        <v>444</v>
      </c>
      <c r="C30" s="143">
        <v>9200</v>
      </c>
      <c r="D30" s="161">
        <v>3816.96</v>
      </c>
      <c r="E30" s="161">
        <f t="shared" si="2"/>
        <v>41.488695652173909</v>
      </c>
      <c r="F30" s="161"/>
    </row>
    <row r="31" spans="1:12" ht="24.95" customHeight="1" x14ac:dyDescent="0.2">
      <c r="A31" s="146" t="s">
        <v>307</v>
      </c>
      <c r="B31" s="146" t="s">
        <v>309</v>
      </c>
      <c r="C31" s="145">
        <v>2000</v>
      </c>
      <c r="D31" s="160">
        <v>3816.96</v>
      </c>
      <c r="E31" s="160">
        <f t="shared" si="2"/>
        <v>190.84799999999998</v>
      </c>
    </row>
    <row r="32" spans="1:12" ht="24.95" customHeight="1" x14ac:dyDescent="0.2">
      <c r="A32" s="146" t="s">
        <v>310</v>
      </c>
      <c r="B32" s="146" t="s">
        <v>312</v>
      </c>
      <c r="C32" s="145">
        <v>2000</v>
      </c>
      <c r="D32" s="160">
        <v>0</v>
      </c>
      <c r="E32" s="160">
        <f t="shared" si="2"/>
        <v>0</v>
      </c>
    </row>
    <row r="33" spans="1:9" ht="24.95" customHeight="1" x14ac:dyDescent="0.2">
      <c r="A33" s="144">
        <v>9221</v>
      </c>
      <c r="B33" s="146" t="s">
        <v>535</v>
      </c>
      <c r="C33" s="145">
        <v>5200</v>
      </c>
      <c r="D33" s="160">
        <v>0</v>
      </c>
      <c r="E33" s="160">
        <f t="shared" si="2"/>
        <v>0</v>
      </c>
    </row>
    <row r="34" spans="1:9" ht="24.95" customHeight="1" x14ac:dyDescent="0.2">
      <c r="A34" s="142" t="s">
        <v>536</v>
      </c>
      <c r="B34" s="142" t="s">
        <v>446</v>
      </c>
      <c r="C34" s="143">
        <v>30400</v>
      </c>
      <c r="D34" s="161">
        <v>32739</v>
      </c>
      <c r="E34" s="161">
        <f t="shared" si="2"/>
        <v>107.69407894736842</v>
      </c>
      <c r="F34" s="161"/>
    </row>
    <row r="35" spans="1:9" ht="24.95" customHeight="1" x14ac:dyDescent="0.2">
      <c r="A35" s="146" t="s">
        <v>314</v>
      </c>
      <c r="B35" s="146" t="s">
        <v>316</v>
      </c>
      <c r="C35" s="145">
        <v>30400</v>
      </c>
      <c r="D35" s="160">
        <v>32739</v>
      </c>
      <c r="E35" s="160">
        <f t="shared" si="2"/>
        <v>107.69407894736842</v>
      </c>
    </row>
    <row r="36" spans="1:9" ht="24.95" customHeight="1" x14ac:dyDescent="0.2">
      <c r="A36" s="142" t="s">
        <v>537</v>
      </c>
      <c r="B36" s="142" t="s">
        <v>450</v>
      </c>
      <c r="C36" s="143">
        <v>100000</v>
      </c>
      <c r="D36" s="161">
        <v>105050.08</v>
      </c>
      <c r="E36" s="161">
        <v>0</v>
      </c>
      <c r="F36" s="162"/>
    </row>
    <row r="37" spans="1:9" ht="24.95" customHeight="1" x14ac:dyDescent="0.2">
      <c r="A37" s="146" t="s">
        <v>321</v>
      </c>
      <c r="B37" s="146" t="s">
        <v>323</v>
      </c>
      <c r="C37" s="145">
        <v>100000</v>
      </c>
      <c r="D37" s="160">
        <v>105050.08</v>
      </c>
      <c r="E37" s="160">
        <v>0</v>
      </c>
    </row>
    <row r="38" spans="1:9" ht="24.95" customHeight="1" x14ac:dyDescent="0.2">
      <c r="A38" s="142" t="s">
        <v>538</v>
      </c>
      <c r="B38" s="142" t="s">
        <v>452</v>
      </c>
      <c r="C38" s="143">
        <v>1000</v>
      </c>
      <c r="D38" s="161">
        <v>105.89</v>
      </c>
      <c r="E38" s="161">
        <f t="shared" ref="E38:E63" si="3">(D38/C38)*100</f>
        <v>10.589</v>
      </c>
      <c r="F38" s="161"/>
    </row>
    <row r="39" spans="1:9" ht="24.95" customHeight="1" x14ac:dyDescent="0.2">
      <c r="A39" s="146" t="s">
        <v>324</v>
      </c>
      <c r="B39" s="146" t="s">
        <v>326</v>
      </c>
      <c r="C39" s="145">
        <v>1000</v>
      </c>
      <c r="D39" s="160">
        <v>105.89</v>
      </c>
      <c r="E39" s="160">
        <f t="shared" si="3"/>
        <v>10.589</v>
      </c>
    </row>
    <row r="40" spans="1:9" ht="20.100000000000001" customHeight="1" x14ac:dyDescent="0.2">
      <c r="A40" s="136"/>
      <c r="B40" s="136" t="s">
        <v>539</v>
      </c>
      <c r="C40" s="137">
        <v>19001700</v>
      </c>
      <c r="D40" s="167">
        <v>18903824.530000001</v>
      </c>
      <c r="E40" s="167">
        <f t="shared" si="3"/>
        <v>99.484912034186422</v>
      </c>
    </row>
    <row r="41" spans="1:9" ht="26.25" customHeight="1" x14ac:dyDescent="0.2">
      <c r="A41" s="138" t="s">
        <v>527</v>
      </c>
      <c r="B41" s="138" t="s">
        <v>418</v>
      </c>
      <c r="C41" s="139">
        <v>19001700</v>
      </c>
      <c r="D41" s="166">
        <v>18903824.530000001</v>
      </c>
      <c r="E41" s="166">
        <f t="shared" si="3"/>
        <v>99.484912034186422</v>
      </c>
      <c r="F41" s="166"/>
    </row>
    <row r="42" spans="1:9" ht="12.75" customHeight="1" x14ac:dyDescent="0.2">
      <c r="A42" s="140" t="s">
        <v>528</v>
      </c>
      <c r="B42" s="140" t="s">
        <v>421</v>
      </c>
      <c r="C42" s="141">
        <v>19001700</v>
      </c>
      <c r="D42" s="165">
        <v>18903824.530000001</v>
      </c>
      <c r="E42" s="165">
        <f t="shared" si="3"/>
        <v>99.484912034186422</v>
      </c>
      <c r="F42" s="165"/>
    </row>
    <row r="43" spans="1:9" ht="33.75" x14ac:dyDescent="0.2">
      <c r="A43" s="140" t="s">
        <v>529</v>
      </c>
      <c r="B43" s="140" t="s">
        <v>0</v>
      </c>
      <c r="C43" s="141">
        <f>C44+C136+C188+C192</f>
        <v>19001700</v>
      </c>
      <c r="D43" s="165">
        <v>18903824.530000001</v>
      </c>
      <c r="E43" s="165">
        <f t="shared" si="3"/>
        <v>99.484912034186422</v>
      </c>
      <c r="F43" s="165"/>
    </row>
    <row r="44" spans="1:9" ht="24.95" customHeight="1" x14ac:dyDescent="0.2">
      <c r="A44" s="151" t="s">
        <v>540</v>
      </c>
      <c r="B44" s="151" t="s">
        <v>541</v>
      </c>
      <c r="C44" s="152">
        <f>C45+C68+C70+C96+C125+C131</f>
        <v>16516900</v>
      </c>
      <c r="D44" s="164">
        <f>D45+D68+D70+D96+D125+D131+2666.4</f>
        <v>16515217.400000002</v>
      </c>
      <c r="E44" s="164">
        <f t="shared" si="3"/>
        <v>99.989812858345104</v>
      </c>
      <c r="F44" s="163"/>
    </row>
    <row r="45" spans="1:9" ht="24.95" customHeight="1" x14ac:dyDescent="0.2">
      <c r="A45" s="142" t="s">
        <v>542</v>
      </c>
      <c r="B45" s="142" t="s">
        <v>488</v>
      </c>
      <c r="C45" s="143">
        <v>14957600</v>
      </c>
      <c r="D45" s="161">
        <f>SUM(D46:D67)</f>
        <v>15017017.200000001</v>
      </c>
      <c r="E45" s="161">
        <f t="shared" si="3"/>
        <v>100.3972375247366</v>
      </c>
      <c r="F45" s="161"/>
    </row>
    <row r="46" spans="1:9" ht="20.100000000000001" customHeight="1" x14ac:dyDescent="0.2">
      <c r="A46" s="146" t="s">
        <v>57</v>
      </c>
      <c r="B46" s="146" t="s">
        <v>59</v>
      </c>
      <c r="C46" s="145">
        <v>11083000</v>
      </c>
      <c r="D46" s="160">
        <v>11200135.939999999</v>
      </c>
      <c r="E46" s="160">
        <f t="shared" si="3"/>
        <v>101.05689741044843</v>
      </c>
    </row>
    <row r="47" spans="1:9" ht="20.100000000000001" customHeight="1" x14ac:dyDescent="0.2">
      <c r="A47" s="146" t="s">
        <v>60</v>
      </c>
      <c r="B47" s="146" t="s">
        <v>62</v>
      </c>
      <c r="C47" s="145">
        <v>1016000</v>
      </c>
      <c r="D47" s="160">
        <v>1086359.73</v>
      </c>
      <c r="E47" s="160">
        <f t="shared" si="3"/>
        <v>106.92517027559055</v>
      </c>
      <c r="G47" s="153"/>
      <c r="I47" s="153"/>
    </row>
    <row r="48" spans="1:9" ht="20.100000000000001" customHeight="1" x14ac:dyDescent="0.2">
      <c r="A48" s="146" t="s">
        <v>63</v>
      </c>
      <c r="B48" s="146" t="s">
        <v>65</v>
      </c>
      <c r="C48" s="145">
        <v>1774300</v>
      </c>
      <c r="D48" s="160">
        <v>1795782.4</v>
      </c>
      <c r="E48" s="160">
        <f t="shared" si="3"/>
        <v>101.21075353660598</v>
      </c>
    </row>
    <row r="49" spans="1:5" ht="20.100000000000001" customHeight="1" x14ac:dyDescent="0.2">
      <c r="A49" s="146" t="s">
        <v>66</v>
      </c>
      <c r="B49" s="146" t="s">
        <v>68</v>
      </c>
      <c r="C49" s="145">
        <v>321000</v>
      </c>
      <c r="D49" s="160">
        <v>290641.33</v>
      </c>
      <c r="E49" s="160">
        <f t="shared" si="3"/>
        <v>90.542470404984428</v>
      </c>
    </row>
    <row r="50" spans="1:5" ht="20.100000000000001" customHeight="1" x14ac:dyDescent="0.2">
      <c r="A50" s="146" t="s">
        <v>69</v>
      </c>
      <c r="B50" s="146" t="s">
        <v>71</v>
      </c>
      <c r="C50" s="145">
        <v>5000</v>
      </c>
      <c r="D50" s="160">
        <v>2030</v>
      </c>
      <c r="E50" s="160">
        <f t="shared" si="3"/>
        <v>40.6</v>
      </c>
    </row>
    <row r="51" spans="1:5" ht="20.100000000000001" customHeight="1" x14ac:dyDescent="0.2">
      <c r="A51" s="146" t="s">
        <v>72</v>
      </c>
      <c r="B51" s="146" t="s">
        <v>74</v>
      </c>
      <c r="C51" s="145">
        <v>3000</v>
      </c>
      <c r="D51" s="160">
        <v>3000</v>
      </c>
      <c r="E51" s="160">
        <f t="shared" si="3"/>
        <v>100</v>
      </c>
    </row>
    <row r="52" spans="1:5" ht="20.100000000000001" customHeight="1" x14ac:dyDescent="0.2">
      <c r="A52" s="146" t="s">
        <v>75</v>
      </c>
      <c r="B52" s="146" t="s">
        <v>77</v>
      </c>
      <c r="C52" s="145">
        <v>3000</v>
      </c>
      <c r="D52" s="160">
        <v>3000</v>
      </c>
      <c r="E52" s="160">
        <f t="shared" si="3"/>
        <v>100</v>
      </c>
    </row>
    <row r="53" spans="1:5" ht="20.100000000000001" customHeight="1" x14ac:dyDescent="0.2">
      <c r="A53" s="146" t="s">
        <v>78</v>
      </c>
      <c r="B53" s="146" t="s">
        <v>80</v>
      </c>
      <c r="C53" s="145">
        <v>422300</v>
      </c>
      <c r="D53" s="160">
        <v>336800.25</v>
      </c>
      <c r="E53" s="160">
        <f t="shared" si="3"/>
        <v>79.753788775751829</v>
      </c>
    </row>
    <row r="54" spans="1:5" ht="20.100000000000001" customHeight="1" x14ac:dyDescent="0.2">
      <c r="A54" s="146" t="s">
        <v>81</v>
      </c>
      <c r="B54" s="146" t="s">
        <v>83</v>
      </c>
      <c r="C54" s="145">
        <v>5000</v>
      </c>
      <c r="D54" s="160">
        <v>5000</v>
      </c>
      <c r="E54" s="160">
        <f t="shared" si="3"/>
        <v>100</v>
      </c>
    </row>
    <row r="55" spans="1:5" ht="20.100000000000001" customHeight="1" x14ac:dyDescent="0.2">
      <c r="A55" s="146" t="s">
        <v>87</v>
      </c>
      <c r="B55" s="146" t="s">
        <v>543</v>
      </c>
      <c r="C55" s="145">
        <v>4000</v>
      </c>
      <c r="D55" s="160">
        <v>4000</v>
      </c>
      <c r="E55" s="160">
        <f t="shared" si="3"/>
        <v>100</v>
      </c>
    </row>
    <row r="56" spans="1:5" ht="20.100000000000001" customHeight="1" x14ac:dyDescent="0.2">
      <c r="A56" s="146" t="s">
        <v>38</v>
      </c>
      <c r="B56" s="146" t="s">
        <v>544</v>
      </c>
      <c r="C56" s="145">
        <v>15000</v>
      </c>
      <c r="D56" s="160">
        <v>10098.34</v>
      </c>
      <c r="E56" s="160">
        <f t="shared" si="3"/>
        <v>67.322266666666664</v>
      </c>
    </row>
    <row r="57" spans="1:5" ht="20.100000000000001" customHeight="1" x14ac:dyDescent="0.2">
      <c r="A57" s="146" t="s">
        <v>94</v>
      </c>
      <c r="B57" s="146" t="s">
        <v>96</v>
      </c>
      <c r="C57" s="145">
        <v>158000</v>
      </c>
      <c r="D57" s="160">
        <v>155732.72</v>
      </c>
      <c r="E57" s="160">
        <f t="shared" si="3"/>
        <v>98.565012658227843</v>
      </c>
    </row>
    <row r="58" spans="1:5" ht="20.100000000000001" customHeight="1" x14ac:dyDescent="0.2">
      <c r="A58" s="146" t="s">
        <v>97</v>
      </c>
      <c r="B58" s="146" t="s">
        <v>99</v>
      </c>
      <c r="C58" s="145">
        <v>30000</v>
      </c>
      <c r="D58" s="160">
        <v>30000</v>
      </c>
      <c r="E58" s="160">
        <f t="shared" si="3"/>
        <v>100</v>
      </c>
    </row>
    <row r="59" spans="1:5" ht="20.100000000000001" customHeight="1" x14ac:dyDescent="0.2">
      <c r="A59" s="146" t="s">
        <v>100</v>
      </c>
      <c r="B59" s="146" t="s">
        <v>102</v>
      </c>
      <c r="C59" s="145">
        <v>54000</v>
      </c>
      <c r="D59" s="160">
        <v>30200</v>
      </c>
      <c r="E59" s="160">
        <f t="shared" si="3"/>
        <v>55.925925925925924</v>
      </c>
    </row>
    <row r="60" spans="1:5" ht="20.100000000000001" customHeight="1" x14ac:dyDescent="0.2">
      <c r="A60" s="146" t="s">
        <v>41</v>
      </c>
      <c r="B60" s="146" t="s">
        <v>43</v>
      </c>
      <c r="C60" s="145">
        <v>3000</v>
      </c>
      <c r="D60" s="160">
        <v>3000</v>
      </c>
      <c r="E60" s="160">
        <f t="shared" si="3"/>
        <v>100</v>
      </c>
    </row>
    <row r="61" spans="1:5" ht="20.100000000000001" customHeight="1" x14ac:dyDescent="0.2">
      <c r="A61" s="146" t="s">
        <v>104</v>
      </c>
      <c r="B61" s="146" t="s">
        <v>106</v>
      </c>
      <c r="C61" s="145">
        <v>30000</v>
      </c>
      <c r="D61" s="160">
        <v>30000</v>
      </c>
      <c r="E61" s="160">
        <f t="shared" si="3"/>
        <v>100</v>
      </c>
    </row>
    <row r="62" spans="1:5" ht="20.100000000000001" customHeight="1" x14ac:dyDescent="0.2">
      <c r="A62" s="146" t="s">
        <v>107</v>
      </c>
      <c r="B62" s="146" t="s">
        <v>109</v>
      </c>
      <c r="C62" s="145">
        <v>4000</v>
      </c>
      <c r="D62" s="160">
        <v>6122.57</v>
      </c>
      <c r="E62" s="160">
        <f t="shared" si="3"/>
        <v>153.06424999999999</v>
      </c>
    </row>
    <row r="63" spans="1:5" ht="20.100000000000001" customHeight="1" x14ac:dyDescent="0.2">
      <c r="A63" s="146" t="s">
        <v>110</v>
      </c>
      <c r="B63" s="146" t="s">
        <v>112</v>
      </c>
      <c r="C63" s="145">
        <v>25000</v>
      </c>
      <c r="D63" s="160">
        <v>23113.919999999998</v>
      </c>
      <c r="E63" s="160">
        <f t="shared" si="3"/>
        <v>92.455680000000001</v>
      </c>
    </row>
    <row r="64" spans="1:5" ht="20.100000000000001" customHeight="1" x14ac:dyDescent="0.2">
      <c r="A64" s="146" t="s">
        <v>113</v>
      </c>
      <c r="B64" s="146" t="s">
        <v>115</v>
      </c>
      <c r="C64" s="145">
        <v>0</v>
      </c>
      <c r="D64" s="160">
        <v>0</v>
      </c>
      <c r="E64" s="160">
        <v>0</v>
      </c>
    </row>
    <row r="65" spans="1:6" ht="20.100000000000001" customHeight="1" x14ac:dyDescent="0.2">
      <c r="A65" s="146" t="s">
        <v>116</v>
      </c>
      <c r="B65" s="146" t="s">
        <v>118</v>
      </c>
      <c r="C65" s="145">
        <v>1000</v>
      </c>
      <c r="D65" s="160">
        <v>1000</v>
      </c>
      <c r="E65" s="160">
        <f>(D65/C65)*100</f>
        <v>100</v>
      </c>
    </row>
    <row r="66" spans="1:6" ht="20.100000000000001" customHeight="1" x14ac:dyDescent="0.2">
      <c r="A66" s="146" t="s">
        <v>119</v>
      </c>
      <c r="B66" s="146" t="s">
        <v>121</v>
      </c>
      <c r="C66" s="145">
        <v>1000</v>
      </c>
      <c r="D66" s="160">
        <v>1000</v>
      </c>
      <c r="E66" s="160">
        <f>(D66/C66)*100</f>
        <v>100</v>
      </c>
    </row>
    <row r="67" spans="1:6" ht="20.100000000000001" customHeight="1" x14ac:dyDescent="0.2">
      <c r="A67" s="146" t="s">
        <v>122</v>
      </c>
      <c r="B67" s="146" t="s">
        <v>124</v>
      </c>
      <c r="C67" s="145">
        <v>0</v>
      </c>
      <c r="D67" s="160">
        <v>0</v>
      </c>
      <c r="E67" s="160"/>
    </row>
    <row r="68" spans="1:6" ht="24.95" customHeight="1" x14ac:dyDescent="0.2">
      <c r="A68" s="142" t="s">
        <v>531</v>
      </c>
      <c r="B68" s="142" t="s">
        <v>426</v>
      </c>
      <c r="C68" s="143">
        <v>18300</v>
      </c>
      <c r="D68" s="161">
        <v>18794.580000000002</v>
      </c>
      <c r="E68" s="161">
        <f>(D68/C68)*100</f>
        <v>102.70262295081969</v>
      </c>
      <c r="F68" s="161"/>
    </row>
    <row r="69" spans="1:6" ht="20.100000000000001" customHeight="1" x14ac:dyDescent="0.2">
      <c r="A69" s="146" t="s">
        <v>126</v>
      </c>
      <c r="B69" s="146" t="s">
        <v>128</v>
      </c>
      <c r="C69" s="145">
        <v>18300</v>
      </c>
      <c r="D69" s="160">
        <v>18794.580000000002</v>
      </c>
      <c r="E69" s="160">
        <f>(D69/C69)*100</f>
        <v>102.70262295081969</v>
      </c>
    </row>
    <row r="70" spans="1:6" ht="24.95" customHeight="1" x14ac:dyDescent="0.2">
      <c r="A70" s="142" t="s">
        <v>532</v>
      </c>
      <c r="B70" s="142" t="s">
        <v>434</v>
      </c>
      <c r="C70" s="143">
        <v>822000</v>
      </c>
      <c r="D70" s="161">
        <f>SUM(D71:D95)</f>
        <v>784198.74999999988</v>
      </c>
      <c r="E70" s="161">
        <f>(D70/C70)*100</f>
        <v>95.401307785888065</v>
      </c>
      <c r="F70" s="161"/>
    </row>
    <row r="71" spans="1:6" ht="20.100000000000001" customHeight="1" x14ac:dyDescent="0.2">
      <c r="A71" s="146" t="s">
        <v>130</v>
      </c>
      <c r="B71" s="146" t="s">
        <v>132</v>
      </c>
      <c r="C71" s="145">
        <v>12000</v>
      </c>
      <c r="D71" s="160">
        <v>18997.830000000002</v>
      </c>
      <c r="E71" s="160">
        <f>(D71/C71)*100</f>
        <v>158.31525000000002</v>
      </c>
    </row>
    <row r="72" spans="1:6" ht="20.100000000000001" customHeight="1" x14ac:dyDescent="0.2">
      <c r="A72" s="146" t="s">
        <v>66</v>
      </c>
      <c r="B72" s="146" t="s">
        <v>68</v>
      </c>
      <c r="C72" s="145">
        <v>0</v>
      </c>
      <c r="D72" s="160">
        <v>0</v>
      </c>
      <c r="E72" s="160"/>
    </row>
    <row r="73" spans="1:6" ht="20.100000000000001" customHeight="1" x14ac:dyDescent="0.2">
      <c r="A73" s="146" t="s">
        <v>69</v>
      </c>
      <c r="B73" s="146" t="s">
        <v>71</v>
      </c>
      <c r="C73" s="145">
        <v>6600</v>
      </c>
      <c r="D73" s="160">
        <v>11201.06</v>
      </c>
      <c r="E73" s="160">
        <f t="shared" ref="E73:E87" si="4">(D73/C73)*100</f>
        <v>169.71303030303028</v>
      </c>
    </row>
    <row r="74" spans="1:6" ht="20.100000000000001" customHeight="1" x14ac:dyDescent="0.2">
      <c r="A74" s="146" t="s">
        <v>72</v>
      </c>
      <c r="B74" s="146" t="s">
        <v>74</v>
      </c>
      <c r="C74" s="145">
        <v>73000</v>
      </c>
      <c r="D74" s="160">
        <v>64014.26</v>
      </c>
      <c r="E74" s="160">
        <f t="shared" si="4"/>
        <v>87.690767123287671</v>
      </c>
    </row>
    <row r="75" spans="1:6" ht="20.100000000000001" customHeight="1" x14ac:dyDescent="0.2">
      <c r="A75" s="146" t="s">
        <v>75</v>
      </c>
      <c r="B75" s="146" t="s">
        <v>77</v>
      </c>
      <c r="C75" s="145">
        <v>62000</v>
      </c>
      <c r="D75" s="160">
        <v>49412.35</v>
      </c>
      <c r="E75" s="160">
        <f t="shared" si="4"/>
        <v>79.69733870967741</v>
      </c>
    </row>
    <row r="76" spans="1:6" ht="20.100000000000001" customHeight="1" x14ac:dyDescent="0.2">
      <c r="A76" s="146" t="s">
        <v>81</v>
      </c>
      <c r="B76" s="146" t="s">
        <v>83</v>
      </c>
      <c r="C76" s="145">
        <v>33000</v>
      </c>
      <c r="D76" s="160">
        <v>28010.28</v>
      </c>
      <c r="E76" s="160">
        <f t="shared" si="4"/>
        <v>84.879636363636351</v>
      </c>
    </row>
    <row r="77" spans="1:6" ht="20.100000000000001" customHeight="1" x14ac:dyDescent="0.2">
      <c r="A77" s="146" t="s">
        <v>84</v>
      </c>
      <c r="B77" s="146" t="s">
        <v>545</v>
      </c>
      <c r="C77" s="145">
        <v>5000</v>
      </c>
      <c r="D77" s="160">
        <v>4606.88</v>
      </c>
      <c r="E77" s="160">
        <f t="shared" si="4"/>
        <v>92.137599999999992</v>
      </c>
    </row>
    <row r="78" spans="1:6" ht="20.100000000000001" customHeight="1" x14ac:dyDescent="0.2">
      <c r="A78" s="146" t="s">
        <v>138</v>
      </c>
      <c r="B78" s="146" t="s">
        <v>140</v>
      </c>
      <c r="C78" s="145">
        <v>3100</v>
      </c>
      <c r="D78" s="160">
        <v>440.25</v>
      </c>
      <c r="E78" s="160">
        <f t="shared" si="4"/>
        <v>14.201612903225808</v>
      </c>
    </row>
    <row r="79" spans="1:6" ht="20.100000000000001" customHeight="1" x14ac:dyDescent="0.2">
      <c r="A79" s="146" t="s">
        <v>87</v>
      </c>
      <c r="B79" s="146" t="s">
        <v>543</v>
      </c>
      <c r="C79" s="145">
        <v>71000</v>
      </c>
      <c r="D79" s="160">
        <v>63264.22</v>
      </c>
      <c r="E79" s="160">
        <f t="shared" si="4"/>
        <v>89.104535211267617</v>
      </c>
    </row>
    <row r="80" spans="1:6" ht="20.100000000000001" customHeight="1" x14ac:dyDescent="0.2">
      <c r="A80" s="146" t="s">
        <v>38</v>
      </c>
      <c r="B80" s="146" t="s">
        <v>544</v>
      </c>
      <c r="C80" s="145">
        <v>114000</v>
      </c>
      <c r="D80" s="160">
        <v>118039</v>
      </c>
      <c r="E80" s="160">
        <f t="shared" si="4"/>
        <v>103.54298245614035</v>
      </c>
    </row>
    <row r="81" spans="1:8" ht="20.100000000000001" customHeight="1" x14ac:dyDescent="0.2">
      <c r="A81" s="146" t="s">
        <v>91</v>
      </c>
      <c r="B81" s="146" t="s">
        <v>93</v>
      </c>
      <c r="C81" s="145">
        <v>1700</v>
      </c>
      <c r="D81" s="160">
        <v>2661.25</v>
      </c>
      <c r="E81" s="160">
        <f t="shared" si="4"/>
        <v>156.54411764705881</v>
      </c>
    </row>
    <row r="82" spans="1:8" ht="20.100000000000001" customHeight="1" x14ac:dyDescent="0.2">
      <c r="A82" s="146" t="s">
        <v>94</v>
      </c>
      <c r="B82" s="146" t="s">
        <v>96</v>
      </c>
      <c r="C82" s="145">
        <v>20000</v>
      </c>
      <c r="D82" s="160">
        <v>2250</v>
      </c>
      <c r="E82" s="160">
        <f t="shared" si="4"/>
        <v>11.25</v>
      </c>
    </row>
    <row r="83" spans="1:8" ht="20.100000000000001" customHeight="1" x14ac:dyDescent="0.2">
      <c r="A83" s="146" t="s">
        <v>97</v>
      </c>
      <c r="B83" s="146" t="s">
        <v>99</v>
      </c>
      <c r="C83" s="145">
        <v>69000</v>
      </c>
      <c r="D83" s="160">
        <v>56106.239999999998</v>
      </c>
      <c r="E83" s="160">
        <f t="shared" si="4"/>
        <v>81.313391304347832</v>
      </c>
    </row>
    <row r="84" spans="1:8" ht="20.100000000000001" customHeight="1" x14ac:dyDescent="0.2">
      <c r="A84" s="146" t="s">
        <v>100</v>
      </c>
      <c r="B84" s="146" t="s">
        <v>102</v>
      </c>
      <c r="C84" s="145">
        <v>2000</v>
      </c>
      <c r="D84" s="160">
        <v>198.47</v>
      </c>
      <c r="E84" s="160">
        <f t="shared" si="4"/>
        <v>9.9235000000000007</v>
      </c>
    </row>
    <row r="85" spans="1:8" ht="20.100000000000001" customHeight="1" x14ac:dyDescent="0.2">
      <c r="A85" s="146" t="s">
        <v>41</v>
      </c>
      <c r="B85" s="146" t="s">
        <v>43</v>
      </c>
      <c r="C85" s="145">
        <v>40000</v>
      </c>
      <c r="D85" s="160">
        <v>50028.29</v>
      </c>
      <c r="E85" s="160">
        <f t="shared" si="4"/>
        <v>125.07072500000001</v>
      </c>
    </row>
    <row r="86" spans="1:8" ht="20.100000000000001" customHeight="1" x14ac:dyDescent="0.2">
      <c r="A86" s="146" t="s">
        <v>104</v>
      </c>
      <c r="B86" s="146" t="s">
        <v>106</v>
      </c>
      <c r="C86" s="145">
        <v>135000</v>
      </c>
      <c r="D86" s="160">
        <v>115914.48</v>
      </c>
      <c r="E86" s="160">
        <f t="shared" si="4"/>
        <v>85.862577777777773</v>
      </c>
    </row>
    <row r="87" spans="1:8" ht="20.100000000000001" customHeight="1" x14ac:dyDescent="0.2">
      <c r="A87" s="146" t="s">
        <v>126</v>
      </c>
      <c r="B87" s="146" t="s">
        <v>128</v>
      </c>
      <c r="C87" s="145">
        <v>118400</v>
      </c>
      <c r="D87" s="160">
        <v>137657.25</v>
      </c>
      <c r="E87" s="160">
        <f t="shared" si="4"/>
        <v>116.26456925675677</v>
      </c>
    </row>
    <row r="88" spans="1:8" ht="20.100000000000001" customHeight="1" x14ac:dyDescent="0.2">
      <c r="A88" s="146" t="s">
        <v>150</v>
      </c>
      <c r="B88" s="146" t="s">
        <v>152</v>
      </c>
      <c r="C88" s="145">
        <v>500</v>
      </c>
      <c r="D88" s="160">
        <v>221.18</v>
      </c>
      <c r="E88" s="160"/>
    </row>
    <row r="89" spans="1:8" ht="20.100000000000001" customHeight="1" x14ac:dyDescent="0.2">
      <c r="A89" s="146" t="s">
        <v>110</v>
      </c>
      <c r="B89" s="146" t="s">
        <v>112</v>
      </c>
      <c r="C89" s="145">
        <v>4000</v>
      </c>
      <c r="D89" s="160">
        <v>3648.84</v>
      </c>
      <c r="E89" s="160">
        <f t="shared" ref="E89:E119" si="5">(D89/C89)*100</f>
        <v>91.221000000000004</v>
      </c>
    </row>
    <row r="90" spans="1:8" ht="20.100000000000001" customHeight="1" x14ac:dyDescent="0.2">
      <c r="A90" s="146" t="s">
        <v>154</v>
      </c>
      <c r="B90" s="146" t="s">
        <v>156</v>
      </c>
      <c r="C90" s="145">
        <v>9000</v>
      </c>
      <c r="D90" s="160">
        <v>13879.05</v>
      </c>
      <c r="E90" s="160">
        <f t="shared" si="5"/>
        <v>154.21166666666664</v>
      </c>
    </row>
    <row r="91" spans="1:8" ht="20.100000000000001" customHeight="1" x14ac:dyDescent="0.2">
      <c r="A91" s="146" t="s">
        <v>113</v>
      </c>
      <c r="B91" s="146" t="s">
        <v>115</v>
      </c>
      <c r="C91" s="145">
        <v>1900</v>
      </c>
      <c r="D91" s="160">
        <v>2502.1999999999998</v>
      </c>
      <c r="E91" s="160">
        <f t="shared" si="5"/>
        <v>131.69473684210527</v>
      </c>
    </row>
    <row r="92" spans="1:8" ht="20.100000000000001" customHeight="1" x14ac:dyDescent="0.2">
      <c r="A92" s="146" t="s">
        <v>116</v>
      </c>
      <c r="B92" s="146" t="s">
        <v>118</v>
      </c>
      <c r="C92" s="145">
        <v>21000</v>
      </c>
      <c r="D92" s="160">
        <v>17376.939999999999</v>
      </c>
      <c r="E92" s="160">
        <f t="shared" si="5"/>
        <v>82.74733333333333</v>
      </c>
    </row>
    <row r="93" spans="1:8" ht="20.100000000000001" customHeight="1" x14ac:dyDescent="0.2">
      <c r="A93" s="146" t="s">
        <v>159</v>
      </c>
      <c r="B93" s="146" t="s">
        <v>161</v>
      </c>
      <c r="C93" s="145">
        <v>5000</v>
      </c>
      <c r="D93" s="160">
        <v>6511.7</v>
      </c>
      <c r="E93" s="160">
        <f t="shared" si="5"/>
        <v>130.23400000000001</v>
      </c>
    </row>
    <row r="94" spans="1:8" ht="20.100000000000001" customHeight="1" x14ac:dyDescent="0.2">
      <c r="A94" s="146" t="s">
        <v>119</v>
      </c>
      <c r="B94" s="146" t="s">
        <v>121</v>
      </c>
      <c r="C94" s="145">
        <v>14600</v>
      </c>
      <c r="D94" s="160">
        <v>17133.240000000002</v>
      </c>
      <c r="E94" s="160">
        <f t="shared" si="5"/>
        <v>117.3509589041096</v>
      </c>
    </row>
    <row r="95" spans="1:8" ht="20.100000000000001" customHeight="1" x14ac:dyDescent="0.2">
      <c r="A95" s="146" t="s">
        <v>163</v>
      </c>
      <c r="B95" s="146" t="s">
        <v>165</v>
      </c>
      <c r="C95" s="145">
        <v>200</v>
      </c>
      <c r="D95" s="160">
        <v>123.49</v>
      </c>
      <c r="E95" s="160">
        <f t="shared" si="5"/>
        <v>61.744999999999997</v>
      </c>
    </row>
    <row r="96" spans="1:8" ht="24.95" customHeight="1" x14ac:dyDescent="0.2">
      <c r="A96" s="142" t="s">
        <v>533</v>
      </c>
      <c r="B96" s="142" t="s">
        <v>440</v>
      </c>
      <c r="C96" s="143">
        <v>687200</v>
      </c>
      <c r="D96" s="161">
        <f>SUM(D97:D124)</f>
        <v>674791.1100000001</v>
      </c>
      <c r="E96" s="161">
        <f t="shared" si="5"/>
        <v>98.19428259604193</v>
      </c>
      <c r="F96" s="161"/>
      <c r="H96" s="154"/>
    </row>
    <row r="97" spans="1:5" ht="20.100000000000001" customHeight="1" x14ac:dyDescent="0.2">
      <c r="A97" s="146" t="s">
        <v>57</v>
      </c>
      <c r="B97" s="146" t="s">
        <v>59</v>
      </c>
      <c r="C97" s="145">
        <v>497000</v>
      </c>
      <c r="D97" s="160">
        <v>491774.73</v>
      </c>
      <c r="E97" s="160">
        <f t="shared" si="5"/>
        <v>98.948637826961772</v>
      </c>
    </row>
    <row r="98" spans="1:5" ht="20.100000000000001" customHeight="1" x14ac:dyDescent="0.2">
      <c r="A98" s="146" t="s">
        <v>60</v>
      </c>
      <c r="B98" s="146" t="s">
        <v>62</v>
      </c>
      <c r="C98" s="145">
        <v>29000</v>
      </c>
      <c r="D98" s="160">
        <v>32712.33</v>
      </c>
      <c r="E98" s="160">
        <f t="shared" si="5"/>
        <v>112.80113793103448</v>
      </c>
    </row>
    <row r="99" spans="1:5" ht="20.100000000000001" customHeight="1" x14ac:dyDescent="0.2">
      <c r="A99" s="146" t="s">
        <v>63</v>
      </c>
      <c r="B99" s="146" t="s">
        <v>65</v>
      </c>
      <c r="C99" s="145">
        <v>79000</v>
      </c>
      <c r="D99" s="160">
        <v>78996.78</v>
      </c>
      <c r="E99" s="160">
        <f t="shared" si="5"/>
        <v>99.995924050632908</v>
      </c>
    </row>
    <row r="100" spans="1:5" ht="20.100000000000001" customHeight="1" x14ac:dyDescent="0.2">
      <c r="A100" s="146" t="s">
        <v>130</v>
      </c>
      <c r="B100" s="146" t="s">
        <v>132</v>
      </c>
      <c r="C100" s="145">
        <v>3100</v>
      </c>
      <c r="D100" s="160">
        <v>3462.28</v>
      </c>
      <c r="E100" s="160">
        <f t="shared" si="5"/>
        <v>111.68645161290323</v>
      </c>
    </row>
    <row r="101" spans="1:5" ht="20.100000000000001" customHeight="1" x14ac:dyDescent="0.2">
      <c r="A101" s="146" t="s">
        <v>66</v>
      </c>
      <c r="B101" s="146" t="s">
        <v>68</v>
      </c>
      <c r="C101" s="145">
        <v>12500</v>
      </c>
      <c r="D101" s="160">
        <v>10474.31</v>
      </c>
      <c r="E101" s="160">
        <f t="shared" si="5"/>
        <v>83.794479999999993</v>
      </c>
    </row>
    <row r="102" spans="1:5" ht="20.100000000000001" customHeight="1" x14ac:dyDescent="0.2">
      <c r="A102" s="146" t="s">
        <v>69</v>
      </c>
      <c r="B102" s="146" t="s">
        <v>71</v>
      </c>
      <c r="C102" s="145">
        <v>600</v>
      </c>
      <c r="D102" s="160">
        <v>645</v>
      </c>
      <c r="E102" s="160">
        <f t="shared" si="5"/>
        <v>107.5</v>
      </c>
    </row>
    <row r="103" spans="1:5" ht="20.100000000000001" customHeight="1" x14ac:dyDescent="0.2">
      <c r="A103" s="146" t="s">
        <v>172</v>
      </c>
      <c r="B103" s="146" t="s">
        <v>174</v>
      </c>
      <c r="C103" s="145">
        <v>1000</v>
      </c>
      <c r="D103" s="160">
        <v>980.7</v>
      </c>
      <c r="E103" s="160">
        <f t="shared" si="5"/>
        <v>98.070000000000007</v>
      </c>
    </row>
    <row r="104" spans="1:5" ht="20.100000000000001" customHeight="1" x14ac:dyDescent="0.2">
      <c r="A104" s="146" t="s">
        <v>72</v>
      </c>
      <c r="B104" s="146" t="s">
        <v>74</v>
      </c>
      <c r="C104" s="145">
        <v>1500</v>
      </c>
      <c r="D104" s="160">
        <v>2240.19</v>
      </c>
      <c r="E104" s="160">
        <f t="shared" si="5"/>
        <v>149.346</v>
      </c>
    </row>
    <row r="105" spans="1:5" ht="20.100000000000001" customHeight="1" x14ac:dyDescent="0.2">
      <c r="A105" s="146" t="s">
        <v>75</v>
      </c>
      <c r="B105" s="146" t="s">
        <v>77</v>
      </c>
      <c r="C105" s="145">
        <v>1600</v>
      </c>
      <c r="D105" s="160">
        <v>1244.25</v>
      </c>
      <c r="E105" s="160">
        <f t="shared" si="5"/>
        <v>77.765625</v>
      </c>
    </row>
    <row r="106" spans="1:5" ht="20.100000000000001" customHeight="1" x14ac:dyDescent="0.2">
      <c r="A106" s="146" t="s">
        <v>78</v>
      </c>
      <c r="B106" s="146" t="s">
        <v>80</v>
      </c>
      <c r="C106" s="145">
        <v>12000</v>
      </c>
      <c r="D106" s="160">
        <v>8613.94</v>
      </c>
      <c r="E106" s="160">
        <f t="shared" si="5"/>
        <v>71.782833333333343</v>
      </c>
    </row>
    <row r="107" spans="1:5" ht="20.100000000000001" customHeight="1" x14ac:dyDescent="0.2">
      <c r="A107" s="146" t="s">
        <v>81</v>
      </c>
      <c r="B107" s="146" t="s">
        <v>83</v>
      </c>
      <c r="C107" s="145">
        <v>100</v>
      </c>
      <c r="D107" s="160">
        <v>0</v>
      </c>
      <c r="E107" s="160">
        <f t="shared" si="5"/>
        <v>0</v>
      </c>
    </row>
    <row r="108" spans="1:5" ht="20.100000000000001" customHeight="1" x14ac:dyDescent="0.2">
      <c r="A108" s="146" t="s">
        <v>84</v>
      </c>
      <c r="B108" s="146" t="s">
        <v>545</v>
      </c>
      <c r="C108" s="145">
        <v>800</v>
      </c>
      <c r="D108" s="160">
        <v>158</v>
      </c>
      <c r="E108" s="160">
        <f t="shared" si="5"/>
        <v>19.75</v>
      </c>
    </row>
    <row r="109" spans="1:5" ht="20.100000000000001" customHeight="1" x14ac:dyDescent="0.2">
      <c r="A109" s="146" t="s">
        <v>138</v>
      </c>
      <c r="B109" s="146" t="s">
        <v>140</v>
      </c>
      <c r="C109" s="145">
        <v>100</v>
      </c>
      <c r="D109" s="160">
        <v>0</v>
      </c>
      <c r="E109" s="160">
        <f t="shared" si="5"/>
        <v>0</v>
      </c>
    </row>
    <row r="110" spans="1:5" ht="20.100000000000001" customHeight="1" x14ac:dyDescent="0.2">
      <c r="A110" s="146" t="s">
        <v>87</v>
      </c>
      <c r="B110" s="146" t="s">
        <v>543</v>
      </c>
      <c r="C110" s="145">
        <v>1700</v>
      </c>
      <c r="D110" s="160">
        <v>1933.68</v>
      </c>
      <c r="E110" s="160">
        <f t="shared" si="5"/>
        <v>113.74588235294118</v>
      </c>
    </row>
    <row r="111" spans="1:5" ht="20.100000000000001" customHeight="1" x14ac:dyDescent="0.2">
      <c r="A111" s="146" t="s">
        <v>38</v>
      </c>
      <c r="B111" s="146" t="s">
        <v>544</v>
      </c>
      <c r="C111" s="145">
        <v>17500</v>
      </c>
      <c r="D111" s="160">
        <v>19777.099999999999</v>
      </c>
      <c r="E111" s="160">
        <f t="shared" si="5"/>
        <v>113.012</v>
      </c>
    </row>
    <row r="112" spans="1:5" ht="20.100000000000001" customHeight="1" x14ac:dyDescent="0.2">
      <c r="A112" s="146" t="s">
        <v>94</v>
      </c>
      <c r="B112" s="146" t="s">
        <v>96</v>
      </c>
      <c r="C112" s="145">
        <v>8500</v>
      </c>
      <c r="D112" s="160">
        <v>8549.93</v>
      </c>
      <c r="E112" s="160">
        <f t="shared" si="5"/>
        <v>100.58741176470589</v>
      </c>
    </row>
    <row r="113" spans="1:8" ht="20.100000000000001" customHeight="1" x14ac:dyDescent="0.2">
      <c r="A113" s="146" t="s">
        <v>97</v>
      </c>
      <c r="B113" s="146" t="s">
        <v>99</v>
      </c>
      <c r="C113" s="145">
        <v>3600</v>
      </c>
      <c r="D113" s="160">
        <v>3177.52</v>
      </c>
      <c r="E113" s="160">
        <f t="shared" si="5"/>
        <v>88.26444444444445</v>
      </c>
    </row>
    <row r="114" spans="1:8" ht="20.100000000000001" customHeight="1" x14ac:dyDescent="0.2">
      <c r="A114" s="146" t="s">
        <v>100</v>
      </c>
      <c r="B114" s="146" t="s">
        <v>102</v>
      </c>
      <c r="C114" s="145">
        <v>100</v>
      </c>
      <c r="D114" s="160">
        <v>0</v>
      </c>
      <c r="E114" s="160">
        <f t="shared" si="5"/>
        <v>0</v>
      </c>
    </row>
    <row r="115" spans="1:8" ht="20.100000000000001" customHeight="1" x14ac:dyDescent="0.2">
      <c r="A115" s="146" t="s">
        <v>41</v>
      </c>
      <c r="B115" s="146" t="s">
        <v>43</v>
      </c>
      <c r="C115" s="145">
        <v>200</v>
      </c>
      <c r="D115" s="160">
        <v>239.28</v>
      </c>
      <c r="E115" s="160">
        <f t="shared" si="5"/>
        <v>119.63999999999999</v>
      </c>
    </row>
    <row r="116" spans="1:8" ht="20.100000000000001" customHeight="1" x14ac:dyDescent="0.2">
      <c r="A116" s="146" t="s">
        <v>104</v>
      </c>
      <c r="B116" s="146" t="s">
        <v>106</v>
      </c>
      <c r="C116" s="145">
        <v>9000</v>
      </c>
      <c r="D116" s="160">
        <v>4332.3100000000004</v>
      </c>
      <c r="E116" s="160">
        <f t="shared" si="5"/>
        <v>48.13677777777778</v>
      </c>
    </row>
    <row r="117" spans="1:8" ht="20.100000000000001" customHeight="1" x14ac:dyDescent="0.2">
      <c r="A117" s="146" t="s">
        <v>126</v>
      </c>
      <c r="B117" s="146" t="s">
        <v>128</v>
      </c>
      <c r="C117" s="145">
        <v>3000</v>
      </c>
      <c r="D117" s="160">
        <v>2585.9899999999998</v>
      </c>
      <c r="E117" s="160">
        <f t="shared" si="5"/>
        <v>86.199666666666658</v>
      </c>
    </row>
    <row r="118" spans="1:8" ht="20.100000000000001" customHeight="1" x14ac:dyDescent="0.2">
      <c r="A118" s="146" t="s">
        <v>110</v>
      </c>
      <c r="B118" s="146" t="s">
        <v>112</v>
      </c>
      <c r="C118" s="145">
        <v>1600</v>
      </c>
      <c r="D118" s="160">
        <v>1550.46</v>
      </c>
      <c r="E118" s="160">
        <f t="shared" si="5"/>
        <v>96.903750000000002</v>
      </c>
      <c r="H118" s="133" t="s">
        <v>546</v>
      </c>
    </row>
    <row r="119" spans="1:8" ht="20.100000000000001" customHeight="1" x14ac:dyDescent="0.2">
      <c r="A119" s="146" t="s">
        <v>154</v>
      </c>
      <c r="B119" s="146" t="s">
        <v>156</v>
      </c>
      <c r="C119" s="145">
        <v>1600</v>
      </c>
      <c r="D119" s="160">
        <v>1054.92</v>
      </c>
      <c r="E119" s="160">
        <f t="shared" si="5"/>
        <v>65.932500000000005</v>
      </c>
    </row>
    <row r="120" spans="1:8" ht="20.100000000000001" customHeight="1" x14ac:dyDescent="0.2">
      <c r="A120" s="146" t="s">
        <v>113</v>
      </c>
      <c r="B120" s="146" t="s">
        <v>115</v>
      </c>
      <c r="C120" s="145">
        <v>0</v>
      </c>
      <c r="D120" s="160">
        <v>0</v>
      </c>
      <c r="E120" s="160">
        <v>0</v>
      </c>
    </row>
    <row r="121" spans="1:8" ht="20.100000000000001" customHeight="1" x14ac:dyDescent="0.2">
      <c r="A121" s="146" t="s">
        <v>116</v>
      </c>
      <c r="B121" s="146" t="s">
        <v>118</v>
      </c>
      <c r="C121" s="145">
        <v>300</v>
      </c>
      <c r="D121" s="160">
        <v>254.76</v>
      </c>
      <c r="E121" s="160">
        <f t="shared" ref="E121:E137" si="6">(D121/C121)*100</f>
        <v>84.92</v>
      </c>
    </row>
    <row r="122" spans="1:8" ht="20.100000000000001" customHeight="1" x14ac:dyDescent="0.2">
      <c r="A122" s="146" t="s">
        <v>159</v>
      </c>
      <c r="B122" s="146" t="s">
        <v>161</v>
      </c>
      <c r="C122" s="145">
        <v>700</v>
      </c>
      <c r="D122" s="160">
        <v>32.65</v>
      </c>
      <c r="E122" s="160">
        <f t="shared" si="6"/>
        <v>4.6642857142857137</v>
      </c>
    </row>
    <row r="123" spans="1:8" ht="20.100000000000001" customHeight="1" x14ac:dyDescent="0.2">
      <c r="A123" s="146" t="s">
        <v>119</v>
      </c>
      <c r="B123" s="146" t="s">
        <v>121</v>
      </c>
      <c r="C123" s="145">
        <v>1000</v>
      </c>
      <c r="D123" s="160">
        <v>0</v>
      </c>
      <c r="E123" s="160">
        <f t="shared" si="6"/>
        <v>0</v>
      </c>
    </row>
    <row r="124" spans="1:8" ht="20.100000000000001" customHeight="1" x14ac:dyDescent="0.2">
      <c r="A124" s="146" t="s">
        <v>163</v>
      </c>
      <c r="B124" s="146" t="s">
        <v>165</v>
      </c>
      <c r="C124" s="145">
        <v>100</v>
      </c>
      <c r="D124" s="160">
        <v>0</v>
      </c>
      <c r="E124" s="160">
        <f t="shared" si="6"/>
        <v>0</v>
      </c>
    </row>
    <row r="125" spans="1:8" ht="24.95" customHeight="1" x14ac:dyDescent="0.2">
      <c r="A125" s="142" t="s">
        <v>534</v>
      </c>
      <c r="B125" s="142" t="s">
        <v>444</v>
      </c>
      <c r="C125" s="143">
        <v>1400</v>
      </c>
      <c r="D125" s="161">
        <v>570.71</v>
      </c>
      <c r="E125" s="161">
        <f t="shared" si="6"/>
        <v>40.765000000000001</v>
      </c>
      <c r="F125" s="161"/>
    </row>
    <row r="126" spans="1:8" ht="20.100000000000001" customHeight="1" x14ac:dyDescent="0.2">
      <c r="A126" s="146" t="s">
        <v>72</v>
      </c>
      <c r="B126" s="146" t="s">
        <v>74</v>
      </c>
      <c r="C126" s="145">
        <v>100</v>
      </c>
      <c r="D126" s="160">
        <v>17.25</v>
      </c>
      <c r="E126" s="160">
        <f t="shared" si="6"/>
        <v>17.25</v>
      </c>
    </row>
    <row r="127" spans="1:8" ht="20.100000000000001" customHeight="1" x14ac:dyDescent="0.2">
      <c r="A127" s="146" t="s">
        <v>75</v>
      </c>
      <c r="B127" s="146" t="s">
        <v>77</v>
      </c>
      <c r="C127" s="145">
        <v>100</v>
      </c>
      <c r="D127" s="160">
        <v>79.599999999999994</v>
      </c>
      <c r="E127" s="160">
        <f t="shared" si="6"/>
        <v>79.599999999999994</v>
      </c>
    </row>
    <row r="128" spans="1:8" ht="20.100000000000001" customHeight="1" x14ac:dyDescent="0.2">
      <c r="A128" s="146" t="s">
        <v>84</v>
      </c>
      <c r="B128" s="146" t="s">
        <v>545</v>
      </c>
      <c r="C128" s="145">
        <v>300</v>
      </c>
      <c r="D128" s="160">
        <v>0</v>
      </c>
      <c r="E128" s="160">
        <f t="shared" si="6"/>
        <v>0</v>
      </c>
    </row>
    <row r="129" spans="1:6" ht="20.100000000000001" customHeight="1" x14ac:dyDescent="0.2">
      <c r="A129" s="146" t="s">
        <v>97</v>
      </c>
      <c r="B129" s="146" t="s">
        <v>99</v>
      </c>
      <c r="C129" s="145">
        <v>300</v>
      </c>
      <c r="D129" s="160">
        <v>174.88</v>
      </c>
      <c r="E129" s="160">
        <f t="shared" si="6"/>
        <v>58.293333333333329</v>
      </c>
    </row>
    <row r="130" spans="1:6" ht="20.100000000000001" customHeight="1" x14ac:dyDescent="0.2">
      <c r="A130" s="146" t="s">
        <v>154</v>
      </c>
      <c r="B130" s="146" t="s">
        <v>156</v>
      </c>
      <c r="C130" s="145">
        <v>600</v>
      </c>
      <c r="D130" s="160">
        <v>298.98</v>
      </c>
      <c r="E130" s="160">
        <f t="shared" si="6"/>
        <v>49.830000000000005</v>
      </c>
    </row>
    <row r="131" spans="1:6" ht="24.95" customHeight="1" x14ac:dyDescent="0.2">
      <c r="A131" s="142" t="s">
        <v>536</v>
      </c>
      <c r="B131" s="142" t="s">
        <v>446</v>
      </c>
      <c r="C131" s="143">
        <v>30400</v>
      </c>
      <c r="D131" s="161">
        <v>17178.650000000001</v>
      </c>
      <c r="E131" s="161">
        <f t="shared" si="6"/>
        <v>56.508717105263159</v>
      </c>
      <c r="F131" s="161"/>
    </row>
    <row r="132" spans="1:6" ht="20.100000000000001" customHeight="1" x14ac:dyDescent="0.2">
      <c r="A132" s="146" t="s">
        <v>130</v>
      </c>
      <c r="B132" s="146" t="s">
        <v>132</v>
      </c>
      <c r="C132" s="145">
        <v>20000</v>
      </c>
      <c r="D132" s="160">
        <v>11603.06</v>
      </c>
      <c r="E132" s="160">
        <f t="shared" si="6"/>
        <v>58.015300000000003</v>
      </c>
    </row>
    <row r="133" spans="1:6" ht="20.100000000000001" customHeight="1" x14ac:dyDescent="0.2">
      <c r="A133" s="146" t="s">
        <v>69</v>
      </c>
      <c r="B133" s="146" t="s">
        <v>71</v>
      </c>
      <c r="C133" s="145">
        <v>7000</v>
      </c>
      <c r="D133" s="160">
        <v>3380</v>
      </c>
      <c r="E133" s="160">
        <f t="shared" si="6"/>
        <v>48.285714285714285</v>
      </c>
    </row>
    <row r="134" spans="1:6" ht="20.100000000000001" customHeight="1" x14ac:dyDescent="0.2">
      <c r="A134" s="146" t="s">
        <v>38</v>
      </c>
      <c r="B134" s="146" t="s">
        <v>544</v>
      </c>
      <c r="C134" s="145">
        <v>3000</v>
      </c>
      <c r="D134" s="160">
        <v>1998.75</v>
      </c>
      <c r="E134" s="160">
        <f t="shared" si="6"/>
        <v>66.625</v>
      </c>
    </row>
    <row r="135" spans="1:6" ht="20.100000000000001" customHeight="1" x14ac:dyDescent="0.2">
      <c r="A135" s="146" t="s">
        <v>41</v>
      </c>
      <c r="B135" s="146" t="s">
        <v>43</v>
      </c>
      <c r="C135" s="145">
        <v>400</v>
      </c>
      <c r="D135" s="160">
        <v>196.84</v>
      </c>
      <c r="E135" s="160">
        <f t="shared" si="6"/>
        <v>49.21</v>
      </c>
    </row>
    <row r="136" spans="1:6" ht="24.95" customHeight="1" x14ac:dyDescent="0.2">
      <c r="A136" s="151" t="s">
        <v>547</v>
      </c>
      <c r="B136" s="151" t="s">
        <v>548</v>
      </c>
      <c r="C136" s="152">
        <f>C137+C149+C163+C181</f>
        <v>299600</v>
      </c>
      <c r="D136" s="164">
        <f>D137+D149+D163+D181</f>
        <v>265042.77</v>
      </c>
      <c r="E136" s="164">
        <f t="shared" si="6"/>
        <v>88.46554405874501</v>
      </c>
      <c r="F136" s="163"/>
    </row>
    <row r="137" spans="1:6" ht="24.95" customHeight="1" x14ac:dyDescent="0.2">
      <c r="A137" s="142" t="s">
        <v>542</v>
      </c>
      <c r="B137" s="142" t="s">
        <v>488</v>
      </c>
      <c r="C137" s="143">
        <v>89000</v>
      </c>
      <c r="D137" s="161">
        <f>SUM(D138:D148)</f>
        <v>88823.22</v>
      </c>
      <c r="E137" s="161">
        <f t="shared" si="6"/>
        <v>99.801370786516856</v>
      </c>
      <c r="F137" s="161"/>
    </row>
    <row r="138" spans="1:6" ht="20.100000000000001" customHeight="1" x14ac:dyDescent="0.2">
      <c r="A138" s="146" t="s">
        <v>172</v>
      </c>
      <c r="B138" s="146" t="s">
        <v>174</v>
      </c>
      <c r="C138" s="145">
        <v>0</v>
      </c>
      <c r="D138" s="160">
        <v>0</v>
      </c>
      <c r="E138" s="160">
        <v>0</v>
      </c>
    </row>
    <row r="139" spans="1:6" ht="20.100000000000001" customHeight="1" x14ac:dyDescent="0.2">
      <c r="A139" s="146" t="s">
        <v>72</v>
      </c>
      <c r="B139" s="146" t="s">
        <v>74</v>
      </c>
      <c r="C139" s="145">
        <v>46100</v>
      </c>
      <c r="D139" s="160">
        <v>45353.34</v>
      </c>
      <c r="E139" s="160">
        <f>(D139/C139)*100</f>
        <v>98.3803470715835</v>
      </c>
    </row>
    <row r="140" spans="1:6" ht="20.100000000000001" customHeight="1" x14ac:dyDescent="0.2">
      <c r="A140" s="146" t="s">
        <v>75</v>
      </c>
      <c r="B140" s="146" t="s">
        <v>77</v>
      </c>
      <c r="C140" s="145">
        <v>500</v>
      </c>
      <c r="D140" s="160">
        <v>500</v>
      </c>
      <c r="E140" s="160">
        <f>(D140/C140)*100</f>
        <v>100</v>
      </c>
    </row>
    <row r="141" spans="1:6" ht="20.100000000000001" customHeight="1" x14ac:dyDescent="0.2">
      <c r="A141" s="146" t="s">
        <v>87</v>
      </c>
      <c r="B141" s="146" t="s">
        <v>543</v>
      </c>
      <c r="C141" s="145">
        <v>0</v>
      </c>
      <c r="D141" s="160">
        <v>0</v>
      </c>
      <c r="E141" s="160">
        <v>0</v>
      </c>
    </row>
    <row r="142" spans="1:6" ht="20.100000000000001" customHeight="1" x14ac:dyDescent="0.2">
      <c r="A142" s="146" t="s">
        <v>38</v>
      </c>
      <c r="B142" s="146" t="s">
        <v>544</v>
      </c>
      <c r="C142" s="145">
        <v>0</v>
      </c>
      <c r="D142" s="160">
        <v>0</v>
      </c>
      <c r="E142" s="160">
        <v>0</v>
      </c>
    </row>
    <row r="143" spans="1:6" ht="20.100000000000001" customHeight="1" x14ac:dyDescent="0.2">
      <c r="A143" s="146" t="s">
        <v>91</v>
      </c>
      <c r="B143" s="146" t="s">
        <v>93</v>
      </c>
      <c r="C143" s="145">
        <v>1300</v>
      </c>
      <c r="D143" s="160">
        <v>1054.04</v>
      </c>
      <c r="E143" s="160">
        <f>(D143/C143)*100</f>
        <v>81.08</v>
      </c>
    </row>
    <row r="144" spans="1:6" ht="20.100000000000001" customHeight="1" x14ac:dyDescent="0.2">
      <c r="A144" s="146" t="s">
        <v>97</v>
      </c>
      <c r="B144" s="146" t="s">
        <v>99</v>
      </c>
      <c r="C144" s="145">
        <v>100</v>
      </c>
      <c r="D144" s="160">
        <v>0</v>
      </c>
      <c r="E144" s="160">
        <f>(D144/C144)*100</f>
        <v>0</v>
      </c>
    </row>
    <row r="145" spans="1:6" ht="20.100000000000001" customHeight="1" x14ac:dyDescent="0.2">
      <c r="A145" s="146" t="s">
        <v>41</v>
      </c>
      <c r="B145" s="146" t="s">
        <v>43</v>
      </c>
      <c r="C145" s="145">
        <v>36000</v>
      </c>
      <c r="D145" s="160">
        <v>36574.28</v>
      </c>
      <c r="E145" s="160">
        <f>(D145/C145)*100</f>
        <v>101.59522222222222</v>
      </c>
    </row>
    <row r="146" spans="1:6" ht="20.100000000000001" customHeight="1" x14ac:dyDescent="0.2">
      <c r="A146" s="146" t="s">
        <v>104</v>
      </c>
      <c r="B146" s="146" t="s">
        <v>106</v>
      </c>
      <c r="C146" s="145">
        <v>0</v>
      </c>
      <c r="D146" s="160">
        <v>0</v>
      </c>
      <c r="E146" s="160">
        <v>0</v>
      </c>
    </row>
    <row r="147" spans="1:6" ht="20.100000000000001" customHeight="1" x14ac:dyDescent="0.2">
      <c r="A147" s="146" t="s">
        <v>126</v>
      </c>
      <c r="B147" s="146" t="s">
        <v>128</v>
      </c>
      <c r="C147" s="145">
        <v>5000</v>
      </c>
      <c r="D147" s="160">
        <v>5341.56</v>
      </c>
      <c r="E147" s="160">
        <f>(D147/C147)*100</f>
        <v>106.83120000000001</v>
      </c>
    </row>
    <row r="148" spans="1:6" ht="20.100000000000001" customHeight="1" x14ac:dyDescent="0.2">
      <c r="A148" s="146" t="s">
        <v>154</v>
      </c>
      <c r="B148" s="146" t="s">
        <v>156</v>
      </c>
      <c r="C148" s="145">
        <v>0</v>
      </c>
      <c r="D148" s="160">
        <v>0</v>
      </c>
      <c r="E148" s="160">
        <v>0</v>
      </c>
    </row>
    <row r="149" spans="1:6" ht="24.95" customHeight="1" x14ac:dyDescent="0.2">
      <c r="A149" s="142" t="s">
        <v>532</v>
      </c>
      <c r="B149" s="142" t="s">
        <v>434</v>
      </c>
      <c r="C149" s="143">
        <v>99300</v>
      </c>
      <c r="D149" s="161">
        <f>SUM(D150:D162)</f>
        <v>108295.92</v>
      </c>
      <c r="E149" s="161">
        <f t="shared" ref="E149:E161" si="7">(D149/C149)*100</f>
        <v>109.05933534743201</v>
      </c>
      <c r="F149" s="161"/>
    </row>
    <row r="150" spans="1:6" ht="20.100000000000001" customHeight="1" x14ac:dyDescent="0.2">
      <c r="A150" s="146" t="s">
        <v>130</v>
      </c>
      <c r="B150" s="146" t="s">
        <v>132</v>
      </c>
      <c r="C150" s="145">
        <v>8500</v>
      </c>
      <c r="D150" s="160">
        <v>9210.67</v>
      </c>
      <c r="E150" s="160">
        <f t="shared" si="7"/>
        <v>108.36082352941176</v>
      </c>
    </row>
    <row r="151" spans="1:6" ht="20.100000000000001" customHeight="1" x14ac:dyDescent="0.2">
      <c r="A151" s="146" t="s">
        <v>69</v>
      </c>
      <c r="B151" s="146" t="s">
        <v>71</v>
      </c>
      <c r="C151" s="145">
        <v>1000</v>
      </c>
      <c r="D151" s="160">
        <v>934.61</v>
      </c>
      <c r="E151" s="160">
        <f t="shared" si="7"/>
        <v>93.460999999999999</v>
      </c>
    </row>
    <row r="152" spans="1:6" ht="20.100000000000001" customHeight="1" x14ac:dyDescent="0.2">
      <c r="A152" s="146" t="s">
        <v>72</v>
      </c>
      <c r="B152" s="146" t="s">
        <v>74</v>
      </c>
      <c r="C152" s="145">
        <v>50000</v>
      </c>
      <c r="D152" s="160">
        <v>49600.54</v>
      </c>
      <c r="E152" s="160">
        <f t="shared" si="7"/>
        <v>99.20107999999999</v>
      </c>
    </row>
    <row r="153" spans="1:6" ht="20.100000000000001" customHeight="1" x14ac:dyDescent="0.2">
      <c r="A153" s="146" t="s">
        <v>75</v>
      </c>
      <c r="B153" s="146" t="s">
        <v>77</v>
      </c>
      <c r="C153" s="145">
        <v>1000</v>
      </c>
      <c r="D153" s="160">
        <v>3578.31</v>
      </c>
      <c r="E153" s="160">
        <f t="shared" si="7"/>
        <v>357.83100000000002</v>
      </c>
    </row>
    <row r="154" spans="1:6" ht="20.100000000000001" customHeight="1" x14ac:dyDescent="0.2">
      <c r="A154" s="146" t="s">
        <v>84</v>
      </c>
      <c r="B154" s="146" t="s">
        <v>545</v>
      </c>
      <c r="C154" s="145">
        <v>0</v>
      </c>
      <c r="D154" s="160">
        <v>454</v>
      </c>
      <c r="E154" s="160" t="e">
        <f t="shared" si="7"/>
        <v>#DIV/0!</v>
      </c>
    </row>
    <row r="155" spans="1:6" ht="20.100000000000001" customHeight="1" x14ac:dyDescent="0.2">
      <c r="A155" s="146" t="s">
        <v>87</v>
      </c>
      <c r="B155" s="146" t="s">
        <v>543</v>
      </c>
      <c r="C155" s="145">
        <v>100</v>
      </c>
      <c r="D155" s="160">
        <v>1005.53</v>
      </c>
      <c r="E155" s="160">
        <f t="shared" si="7"/>
        <v>1005.5299999999999</v>
      </c>
    </row>
    <row r="156" spans="1:6" ht="20.100000000000001" customHeight="1" x14ac:dyDescent="0.2">
      <c r="A156" s="146" t="s">
        <v>91</v>
      </c>
      <c r="B156" s="146" t="s">
        <v>93</v>
      </c>
      <c r="C156" s="145">
        <v>200</v>
      </c>
      <c r="D156" s="160">
        <v>495</v>
      </c>
      <c r="E156" s="160">
        <f t="shared" si="7"/>
        <v>247.5</v>
      </c>
    </row>
    <row r="157" spans="1:6" ht="20.100000000000001" customHeight="1" x14ac:dyDescent="0.2">
      <c r="A157" s="146" t="s">
        <v>97</v>
      </c>
      <c r="B157" s="146" t="s">
        <v>99</v>
      </c>
      <c r="C157" s="145">
        <v>600</v>
      </c>
      <c r="D157" s="160">
        <v>0</v>
      </c>
      <c r="E157" s="160">
        <f t="shared" si="7"/>
        <v>0</v>
      </c>
    </row>
    <row r="158" spans="1:6" ht="20.100000000000001" customHeight="1" x14ac:dyDescent="0.2">
      <c r="A158" s="146" t="s">
        <v>41</v>
      </c>
      <c r="B158" s="146" t="s">
        <v>43</v>
      </c>
      <c r="C158" s="145">
        <v>35500</v>
      </c>
      <c r="D158" s="160">
        <v>31601.119999999999</v>
      </c>
      <c r="E158" s="160">
        <f t="shared" si="7"/>
        <v>89.017239436619704</v>
      </c>
    </row>
    <row r="159" spans="1:6" ht="20.100000000000001" customHeight="1" x14ac:dyDescent="0.2">
      <c r="A159" s="146" t="s">
        <v>104</v>
      </c>
      <c r="B159" s="146" t="s">
        <v>106</v>
      </c>
      <c r="C159" s="145">
        <v>200</v>
      </c>
      <c r="D159" s="160">
        <v>200</v>
      </c>
      <c r="E159" s="160">
        <f t="shared" si="7"/>
        <v>100</v>
      </c>
    </row>
    <row r="160" spans="1:6" ht="20.100000000000001" customHeight="1" x14ac:dyDescent="0.2">
      <c r="A160" s="146" t="s">
        <v>126</v>
      </c>
      <c r="B160" s="146" t="s">
        <v>128</v>
      </c>
      <c r="C160" s="145">
        <v>1500</v>
      </c>
      <c r="D160" s="160">
        <v>7882.14</v>
      </c>
      <c r="E160" s="160">
        <f t="shared" si="7"/>
        <v>525.476</v>
      </c>
    </row>
    <row r="161" spans="1:6" ht="20.100000000000001" customHeight="1" x14ac:dyDescent="0.2">
      <c r="A161" s="146" t="s">
        <v>154</v>
      </c>
      <c r="B161" s="146" t="s">
        <v>156</v>
      </c>
      <c r="C161" s="145">
        <v>700</v>
      </c>
      <c r="D161" s="160">
        <v>3334</v>
      </c>
      <c r="E161" s="160">
        <f t="shared" si="7"/>
        <v>476.28571428571422</v>
      </c>
    </row>
    <row r="162" spans="1:6" ht="20.100000000000001" customHeight="1" x14ac:dyDescent="0.2">
      <c r="A162" s="146" t="s">
        <v>159</v>
      </c>
      <c r="B162" s="146" t="s">
        <v>161</v>
      </c>
      <c r="C162" s="145">
        <v>0</v>
      </c>
      <c r="D162" s="160">
        <v>0</v>
      </c>
      <c r="E162" s="160">
        <v>0</v>
      </c>
    </row>
    <row r="163" spans="1:6" ht="24.95" customHeight="1" x14ac:dyDescent="0.2">
      <c r="A163" s="142" t="s">
        <v>533</v>
      </c>
      <c r="B163" s="142" t="s">
        <v>440</v>
      </c>
      <c r="C163" s="143">
        <v>106500</v>
      </c>
      <c r="D163" s="161">
        <v>66763.06</v>
      </c>
      <c r="E163" s="161">
        <f t="shared" ref="E163:E189" si="8">(D163/C163)*100</f>
        <v>62.688319248826282</v>
      </c>
      <c r="F163" s="161"/>
    </row>
    <row r="164" spans="1:6" ht="20.100000000000001" customHeight="1" x14ac:dyDescent="0.2">
      <c r="A164" s="146" t="s">
        <v>130</v>
      </c>
      <c r="B164" s="146" t="s">
        <v>132</v>
      </c>
      <c r="C164" s="145">
        <v>10100</v>
      </c>
      <c r="D164" s="160">
        <v>2670</v>
      </c>
      <c r="E164" s="160">
        <f t="shared" si="8"/>
        <v>26.435643564356436</v>
      </c>
    </row>
    <row r="165" spans="1:6" ht="20.100000000000001" customHeight="1" x14ac:dyDescent="0.2">
      <c r="A165" s="146" t="s">
        <v>69</v>
      </c>
      <c r="B165" s="146" t="s">
        <v>71</v>
      </c>
      <c r="C165" s="145">
        <v>1400</v>
      </c>
      <c r="D165" s="160">
        <v>725.39</v>
      </c>
      <c r="E165" s="160">
        <f t="shared" si="8"/>
        <v>51.813571428571429</v>
      </c>
    </row>
    <row r="166" spans="1:6" ht="20.100000000000001" customHeight="1" x14ac:dyDescent="0.2">
      <c r="A166" s="146" t="s">
        <v>72</v>
      </c>
      <c r="B166" s="146" t="s">
        <v>74</v>
      </c>
      <c r="C166" s="145">
        <v>3900</v>
      </c>
      <c r="D166" s="160">
        <v>3116.87</v>
      </c>
      <c r="E166" s="160">
        <f t="shared" si="8"/>
        <v>79.919743589743589</v>
      </c>
    </row>
    <row r="167" spans="1:6" ht="20.100000000000001" customHeight="1" x14ac:dyDescent="0.2">
      <c r="A167" s="146" t="s">
        <v>75</v>
      </c>
      <c r="B167" s="146" t="s">
        <v>77</v>
      </c>
      <c r="C167" s="145">
        <v>1000</v>
      </c>
      <c r="D167" s="160">
        <v>756.14</v>
      </c>
      <c r="E167" s="160">
        <f t="shared" si="8"/>
        <v>75.614000000000004</v>
      </c>
    </row>
    <row r="168" spans="1:6" ht="20.100000000000001" customHeight="1" x14ac:dyDescent="0.2">
      <c r="A168" s="146" t="s">
        <v>78</v>
      </c>
      <c r="B168" s="146" t="s">
        <v>80</v>
      </c>
      <c r="C168" s="145">
        <v>400</v>
      </c>
      <c r="D168" s="160">
        <v>0</v>
      </c>
      <c r="E168" s="160">
        <f t="shared" si="8"/>
        <v>0</v>
      </c>
    </row>
    <row r="169" spans="1:6" ht="20.100000000000001" customHeight="1" x14ac:dyDescent="0.2">
      <c r="A169" s="146" t="s">
        <v>81</v>
      </c>
      <c r="B169" s="146" t="s">
        <v>83</v>
      </c>
      <c r="C169" s="145">
        <v>400</v>
      </c>
      <c r="D169" s="160">
        <v>345.55</v>
      </c>
      <c r="E169" s="160">
        <f t="shared" si="8"/>
        <v>86.387500000000003</v>
      </c>
    </row>
    <row r="170" spans="1:6" ht="20.100000000000001" customHeight="1" x14ac:dyDescent="0.2">
      <c r="A170" s="146" t="s">
        <v>84</v>
      </c>
      <c r="B170" s="146" t="s">
        <v>545</v>
      </c>
      <c r="C170" s="145">
        <v>300</v>
      </c>
      <c r="D170" s="160">
        <v>0</v>
      </c>
      <c r="E170" s="160">
        <f t="shared" si="8"/>
        <v>0</v>
      </c>
    </row>
    <row r="171" spans="1:6" ht="20.100000000000001" customHeight="1" x14ac:dyDescent="0.2">
      <c r="A171" s="146" t="s">
        <v>87</v>
      </c>
      <c r="B171" s="146" t="s">
        <v>543</v>
      </c>
      <c r="C171" s="145">
        <v>700</v>
      </c>
      <c r="D171" s="160">
        <v>9.2799999999999994</v>
      </c>
      <c r="E171" s="160">
        <f t="shared" si="8"/>
        <v>1.3257142857142856</v>
      </c>
    </row>
    <row r="172" spans="1:6" ht="20.100000000000001" customHeight="1" x14ac:dyDescent="0.2">
      <c r="A172" s="146" t="s">
        <v>91</v>
      </c>
      <c r="B172" s="146" t="s">
        <v>93</v>
      </c>
      <c r="C172" s="145">
        <v>1500</v>
      </c>
      <c r="D172" s="160">
        <v>0</v>
      </c>
      <c r="E172" s="160">
        <f t="shared" si="8"/>
        <v>0</v>
      </c>
    </row>
    <row r="173" spans="1:6" ht="20.100000000000001" customHeight="1" x14ac:dyDescent="0.2">
      <c r="A173" s="146" t="s">
        <v>97</v>
      </c>
      <c r="B173" s="146" t="s">
        <v>99</v>
      </c>
      <c r="C173" s="145">
        <v>1600</v>
      </c>
      <c r="D173" s="160">
        <v>0</v>
      </c>
      <c r="E173" s="160">
        <f t="shared" si="8"/>
        <v>0</v>
      </c>
    </row>
    <row r="174" spans="1:6" ht="20.100000000000001" customHeight="1" x14ac:dyDescent="0.2">
      <c r="A174" s="146" t="s">
        <v>41</v>
      </c>
      <c r="B174" s="146" t="s">
        <v>43</v>
      </c>
      <c r="C174" s="145">
        <v>70000</v>
      </c>
      <c r="D174" s="160">
        <v>39663.800000000003</v>
      </c>
      <c r="E174" s="160">
        <f t="shared" si="8"/>
        <v>56.662571428571425</v>
      </c>
    </row>
    <row r="175" spans="1:6" ht="20.100000000000001" customHeight="1" x14ac:dyDescent="0.2">
      <c r="A175" s="146" t="s">
        <v>104</v>
      </c>
      <c r="B175" s="146" t="s">
        <v>106</v>
      </c>
      <c r="C175" s="145">
        <v>1600</v>
      </c>
      <c r="D175" s="160">
        <v>1694</v>
      </c>
      <c r="E175" s="160">
        <f t="shared" si="8"/>
        <v>105.87500000000001</v>
      </c>
    </row>
    <row r="176" spans="1:6" ht="20.100000000000001" customHeight="1" x14ac:dyDescent="0.2">
      <c r="A176" s="146" t="s">
        <v>126</v>
      </c>
      <c r="B176" s="146" t="s">
        <v>128</v>
      </c>
      <c r="C176" s="145">
        <v>9900</v>
      </c>
      <c r="D176" s="160">
        <v>14708.65</v>
      </c>
      <c r="E176" s="160">
        <f t="shared" si="8"/>
        <v>148.57222222222222</v>
      </c>
    </row>
    <row r="177" spans="1:6" ht="20.100000000000001" customHeight="1" x14ac:dyDescent="0.2">
      <c r="A177" s="146" t="s">
        <v>150</v>
      </c>
      <c r="B177" s="146" t="s">
        <v>152</v>
      </c>
      <c r="C177" s="145">
        <v>700</v>
      </c>
      <c r="D177" s="160">
        <v>0</v>
      </c>
      <c r="E177" s="160">
        <f t="shared" si="8"/>
        <v>0</v>
      </c>
    </row>
    <row r="178" spans="1:6" ht="20.100000000000001" customHeight="1" x14ac:dyDescent="0.2">
      <c r="A178" s="146" t="s">
        <v>154</v>
      </c>
      <c r="B178" s="146" t="s">
        <v>156</v>
      </c>
      <c r="C178" s="145">
        <v>900</v>
      </c>
      <c r="D178" s="160">
        <v>1073.3800000000001</v>
      </c>
      <c r="E178" s="160">
        <f t="shared" si="8"/>
        <v>119.26444444444446</v>
      </c>
    </row>
    <row r="179" spans="1:6" ht="20.100000000000001" customHeight="1" x14ac:dyDescent="0.2">
      <c r="A179" s="146" t="s">
        <v>113</v>
      </c>
      <c r="B179" s="146" t="s">
        <v>115</v>
      </c>
      <c r="C179" s="145">
        <v>2000</v>
      </c>
      <c r="D179" s="160">
        <v>2000</v>
      </c>
      <c r="E179" s="160">
        <f t="shared" si="8"/>
        <v>100</v>
      </c>
    </row>
    <row r="180" spans="1:6" ht="20.100000000000001" customHeight="1" x14ac:dyDescent="0.2">
      <c r="A180" s="146" t="s">
        <v>159</v>
      </c>
      <c r="B180" s="146" t="s">
        <v>161</v>
      </c>
      <c r="C180" s="145">
        <v>100</v>
      </c>
      <c r="D180" s="160">
        <v>0</v>
      </c>
      <c r="E180" s="160">
        <f t="shared" si="8"/>
        <v>0</v>
      </c>
    </row>
    <row r="181" spans="1:6" ht="24.95" customHeight="1" x14ac:dyDescent="0.2">
      <c r="A181" s="142" t="s">
        <v>534</v>
      </c>
      <c r="B181" s="142" t="s">
        <v>444</v>
      </c>
      <c r="C181" s="143">
        <v>4800</v>
      </c>
      <c r="D181" s="161">
        <v>1160.57</v>
      </c>
      <c r="E181" s="161">
        <f t="shared" si="8"/>
        <v>24.178541666666664</v>
      </c>
      <c r="F181" s="161"/>
    </row>
    <row r="182" spans="1:6" ht="20.100000000000001" customHeight="1" x14ac:dyDescent="0.2">
      <c r="A182" s="146" t="s">
        <v>72</v>
      </c>
      <c r="B182" s="146" t="s">
        <v>74</v>
      </c>
      <c r="C182" s="145">
        <v>800</v>
      </c>
      <c r="D182" s="160">
        <v>0</v>
      </c>
      <c r="E182" s="160">
        <f t="shared" si="8"/>
        <v>0</v>
      </c>
    </row>
    <row r="183" spans="1:6" ht="20.100000000000001" customHeight="1" x14ac:dyDescent="0.2">
      <c r="A183" s="146" t="s">
        <v>75</v>
      </c>
      <c r="B183" s="146" t="s">
        <v>77</v>
      </c>
      <c r="C183" s="145">
        <v>400</v>
      </c>
      <c r="D183" s="160">
        <v>0</v>
      </c>
      <c r="E183" s="160">
        <f t="shared" si="8"/>
        <v>0</v>
      </c>
    </row>
    <row r="184" spans="1:6" ht="20.100000000000001" customHeight="1" x14ac:dyDescent="0.2">
      <c r="A184" s="146" t="s">
        <v>81</v>
      </c>
      <c r="B184" s="146" t="s">
        <v>83</v>
      </c>
      <c r="C184" s="145">
        <v>100</v>
      </c>
      <c r="D184" s="160">
        <v>0</v>
      </c>
      <c r="E184" s="160">
        <f t="shared" si="8"/>
        <v>0</v>
      </c>
    </row>
    <row r="185" spans="1:6" ht="20.100000000000001" customHeight="1" x14ac:dyDescent="0.2">
      <c r="A185" s="146" t="s">
        <v>91</v>
      </c>
      <c r="B185" s="146" t="s">
        <v>93</v>
      </c>
      <c r="C185" s="145">
        <v>800</v>
      </c>
      <c r="D185" s="160">
        <v>403.5</v>
      </c>
      <c r="E185" s="160">
        <f t="shared" si="8"/>
        <v>50.4375</v>
      </c>
    </row>
    <row r="186" spans="1:6" ht="20.100000000000001" customHeight="1" x14ac:dyDescent="0.2">
      <c r="A186" s="146" t="s">
        <v>41</v>
      </c>
      <c r="B186" s="146" t="s">
        <v>43</v>
      </c>
      <c r="C186" s="145">
        <v>2600</v>
      </c>
      <c r="D186" s="160">
        <v>0</v>
      </c>
      <c r="E186" s="160">
        <f t="shared" si="8"/>
        <v>0</v>
      </c>
    </row>
    <row r="187" spans="1:6" ht="20.100000000000001" customHeight="1" x14ac:dyDescent="0.2">
      <c r="A187" s="146" t="s">
        <v>126</v>
      </c>
      <c r="B187" s="146" t="s">
        <v>128</v>
      </c>
      <c r="C187" s="145">
        <v>100</v>
      </c>
      <c r="D187" s="160">
        <v>757.07</v>
      </c>
      <c r="E187" s="160">
        <f t="shared" si="8"/>
        <v>757.07</v>
      </c>
    </row>
    <row r="188" spans="1:6" ht="35.25" customHeight="1" x14ac:dyDescent="0.2">
      <c r="A188" s="151" t="s">
        <v>549</v>
      </c>
      <c r="B188" s="151" t="s">
        <v>550</v>
      </c>
      <c r="C188" s="152">
        <v>182700</v>
      </c>
      <c r="D188" s="164">
        <v>182700</v>
      </c>
      <c r="E188" s="164">
        <f t="shared" si="8"/>
        <v>100</v>
      </c>
      <c r="F188" s="163"/>
    </row>
    <row r="189" spans="1:6" ht="24.95" customHeight="1" x14ac:dyDescent="0.2">
      <c r="A189" s="142" t="s">
        <v>542</v>
      </c>
      <c r="B189" s="142" t="s">
        <v>488</v>
      </c>
      <c r="C189" s="143">
        <v>182700</v>
      </c>
      <c r="D189" s="161">
        <v>182700</v>
      </c>
      <c r="E189" s="161">
        <f t="shared" si="8"/>
        <v>100</v>
      </c>
      <c r="F189" s="161"/>
    </row>
    <row r="190" spans="1:6" ht="20.100000000000001" customHeight="1" x14ac:dyDescent="0.2">
      <c r="A190" s="146" t="s">
        <v>97</v>
      </c>
      <c r="B190" s="146" t="s">
        <v>99</v>
      </c>
      <c r="C190" s="145">
        <v>0</v>
      </c>
      <c r="D190" s="160">
        <v>182700</v>
      </c>
      <c r="E190" s="160">
        <v>0</v>
      </c>
    </row>
    <row r="191" spans="1:6" ht="20.100000000000001" customHeight="1" x14ac:dyDescent="0.2">
      <c r="A191" s="146" t="s">
        <v>260</v>
      </c>
      <c r="B191" s="146" t="s">
        <v>262</v>
      </c>
      <c r="C191" s="145">
        <v>182700</v>
      </c>
      <c r="D191" s="160">
        <v>0</v>
      </c>
      <c r="E191" s="160">
        <f>(D191/C191)*100</f>
        <v>0</v>
      </c>
    </row>
    <row r="192" spans="1:6" ht="24.95" customHeight="1" x14ac:dyDescent="0.2">
      <c r="A192" s="151" t="s">
        <v>551</v>
      </c>
      <c r="B192" s="151" t="s">
        <v>552</v>
      </c>
      <c r="C192" s="152">
        <f>C193+C197+C209+C212+C214+C205</f>
        <v>2002500</v>
      </c>
      <c r="D192" s="164">
        <f>D193+D197+D205+D209+D212+D214</f>
        <v>1940864.36</v>
      </c>
      <c r="E192" s="164">
        <f>(D192/C192)*100</f>
        <v>96.92206541822722</v>
      </c>
      <c r="F192" s="163"/>
    </row>
    <row r="193" spans="1:7" ht="24.95" customHeight="1" x14ac:dyDescent="0.2">
      <c r="A193" s="142" t="s">
        <v>542</v>
      </c>
      <c r="B193" s="142" t="s">
        <v>488</v>
      </c>
      <c r="C193" s="143">
        <f>C194+C195+C196</f>
        <v>1154400</v>
      </c>
      <c r="D193" s="161">
        <f>SUM(D195:D196)</f>
        <v>1143395.79</v>
      </c>
      <c r="E193" s="161">
        <f>(D193/C193)*100</f>
        <v>99.046759355509366</v>
      </c>
      <c r="F193" s="161"/>
    </row>
    <row r="194" spans="1:7" ht="20.100000000000001" customHeight="1" x14ac:dyDescent="0.2">
      <c r="A194" s="146" t="s">
        <v>27</v>
      </c>
      <c r="B194" s="146" t="s">
        <v>29</v>
      </c>
      <c r="C194" s="145">
        <v>11000</v>
      </c>
      <c r="D194" s="145"/>
      <c r="E194" s="156"/>
      <c r="F194" s="155">
        <v>0</v>
      </c>
    </row>
    <row r="195" spans="1:7" ht="20.100000000000001" customHeight="1" x14ac:dyDescent="0.2">
      <c r="A195" s="146" t="s">
        <v>17</v>
      </c>
      <c r="B195" s="146" t="s">
        <v>19</v>
      </c>
      <c r="C195" s="145">
        <v>1108800</v>
      </c>
      <c r="D195" s="160">
        <v>1108795.79</v>
      </c>
      <c r="E195" s="160">
        <f t="shared" ref="E195:E200" si="9">(D195/C195)*100</f>
        <v>99.999620310245319</v>
      </c>
    </row>
    <row r="196" spans="1:7" ht="20.100000000000001" customHeight="1" x14ac:dyDescent="0.2">
      <c r="A196" s="146" t="s">
        <v>23</v>
      </c>
      <c r="B196" s="146" t="s">
        <v>25</v>
      </c>
      <c r="C196" s="145">
        <v>34600</v>
      </c>
      <c r="D196" s="160">
        <v>34600</v>
      </c>
      <c r="E196" s="160">
        <f t="shared" si="9"/>
        <v>100</v>
      </c>
    </row>
    <row r="197" spans="1:7" ht="24.95" customHeight="1" x14ac:dyDescent="0.2">
      <c r="A197" s="142" t="s">
        <v>532</v>
      </c>
      <c r="B197" s="142" t="s">
        <v>434</v>
      </c>
      <c r="C197" s="143">
        <v>190100</v>
      </c>
      <c r="D197" s="161">
        <v>119547.22</v>
      </c>
      <c r="E197" s="161">
        <f t="shared" si="9"/>
        <v>62.886491320357706</v>
      </c>
      <c r="F197" s="161"/>
    </row>
    <row r="198" spans="1:7" ht="20.100000000000001" customHeight="1" x14ac:dyDescent="0.2">
      <c r="A198" s="146" t="s">
        <v>27</v>
      </c>
      <c r="B198" s="146" t="s">
        <v>29</v>
      </c>
      <c r="C198" s="145">
        <v>114200</v>
      </c>
      <c r="D198" s="160">
        <v>25400.81</v>
      </c>
      <c r="E198" s="160">
        <f t="shared" si="9"/>
        <v>22.242390542907181</v>
      </c>
    </row>
    <row r="199" spans="1:7" ht="20.100000000000001" customHeight="1" x14ac:dyDescent="0.2">
      <c r="A199" s="146" t="s">
        <v>272</v>
      </c>
      <c r="B199" s="146" t="s">
        <v>274</v>
      </c>
      <c r="C199" s="145">
        <v>2800</v>
      </c>
      <c r="D199" s="160">
        <v>2731.21</v>
      </c>
      <c r="E199" s="160">
        <f t="shared" si="9"/>
        <v>97.543214285714285</v>
      </c>
    </row>
    <row r="200" spans="1:7" ht="20.100000000000001" customHeight="1" x14ac:dyDescent="0.2">
      <c r="A200" s="146" t="s">
        <v>30</v>
      </c>
      <c r="B200" s="146" t="s">
        <v>32</v>
      </c>
      <c r="C200" s="145">
        <v>20000</v>
      </c>
      <c r="D200" s="160">
        <v>17380.04</v>
      </c>
      <c r="E200" s="160">
        <f t="shared" si="9"/>
        <v>86.900200000000012</v>
      </c>
    </row>
    <row r="201" spans="1:7" ht="20.100000000000001" customHeight="1" x14ac:dyDescent="0.2">
      <c r="A201" s="146" t="s">
        <v>276</v>
      </c>
      <c r="B201" s="146" t="s">
        <v>278</v>
      </c>
      <c r="C201" s="145">
        <v>0</v>
      </c>
      <c r="D201" s="160">
        <v>0</v>
      </c>
      <c r="E201" s="160">
        <v>0</v>
      </c>
    </row>
    <row r="202" spans="1:7" ht="20.100000000000001" customHeight="1" x14ac:dyDescent="0.2">
      <c r="A202" s="146" t="s">
        <v>17</v>
      </c>
      <c r="B202" s="146" t="s">
        <v>19</v>
      </c>
      <c r="C202" s="145">
        <v>300</v>
      </c>
      <c r="D202" s="160">
        <v>2603.7199999999998</v>
      </c>
      <c r="E202" s="160">
        <v>0</v>
      </c>
    </row>
    <row r="203" spans="1:7" ht="20.100000000000001" customHeight="1" x14ac:dyDescent="0.2">
      <c r="A203" s="146" t="s">
        <v>20</v>
      </c>
      <c r="B203" s="146" t="s">
        <v>22</v>
      </c>
      <c r="C203" s="145">
        <v>15000</v>
      </c>
      <c r="D203" s="160">
        <v>14040.28</v>
      </c>
      <c r="E203" s="160">
        <f>(D203/C203)*100</f>
        <v>93.601866666666666</v>
      </c>
    </row>
    <row r="204" spans="1:7" ht="20.100000000000001" customHeight="1" x14ac:dyDescent="0.2">
      <c r="A204" s="146" t="s">
        <v>23</v>
      </c>
      <c r="B204" s="146" t="s">
        <v>25</v>
      </c>
      <c r="C204" s="145">
        <v>37800</v>
      </c>
      <c r="D204" s="160">
        <v>57391.16</v>
      </c>
      <c r="E204" s="160">
        <v>0</v>
      </c>
    </row>
    <row r="205" spans="1:7" ht="24.95" customHeight="1" x14ac:dyDescent="0.2">
      <c r="A205" s="142" t="s">
        <v>533</v>
      </c>
      <c r="B205" s="142" t="s">
        <v>440</v>
      </c>
      <c r="C205" s="143">
        <f>C206+C207+C208</f>
        <v>554000</v>
      </c>
      <c r="D205" s="161">
        <f>SUM(D206:D208)</f>
        <v>572451.29</v>
      </c>
      <c r="E205" s="161">
        <f>(D205/C205)*100</f>
        <v>103.33055776173285</v>
      </c>
      <c r="F205" s="161"/>
    </row>
    <row r="206" spans="1:7" ht="20.100000000000001" customHeight="1" x14ac:dyDescent="0.2">
      <c r="A206" s="146" t="s">
        <v>27</v>
      </c>
      <c r="B206" s="146" t="s">
        <v>29</v>
      </c>
      <c r="C206" s="145">
        <v>5000</v>
      </c>
      <c r="D206" s="160">
        <v>2768.06</v>
      </c>
      <c r="E206" s="160">
        <f>(D206/C206)*100</f>
        <v>55.361199999999997</v>
      </c>
    </row>
    <row r="207" spans="1:7" ht="20.100000000000001" customHeight="1" x14ac:dyDescent="0.2">
      <c r="A207" s="146" t="s">
        <v>30</v>
      </c>
      <c r="B207" s="146" t="s">
        <v>32</v>
      </c>
      <c r="C207" s="145">
        <v>2000</v>
      </c>
      <c r="D207" s="145">
        <v>1993</v>
      </c>
      <c r="E207" s="145"/>
      <c r="F207" s="145">
        <v>0</v>
      </c>
      <c r="G207" s="145"/>
    </row>
    <row r="208" spans="1:7" ht="20.100000000000001" customHeight="1" x14ac:dyDescent="0.2">
      <c r="A208" s="146" t="s">
        <v>17</v>
      </c>
      <c r="B208" s="146" t="s">
        <v>19</v>
      </c>
      <c r="C208" s="145">
        <v>547000</v>
      </c>
      <c r="D208" s="160">
        <v>567690.23</v>
      </c>
      <c r="E208" s="160">
        <f>(D208/C208)*100</f>
        <v>103.78249177330896</v>
      </c>
    </row>
    <row r="209" spans="1:6" ht="24.95" customHeight="1" x14ac:dyDescent="0.2">
      <c r="A209" s="142" t="s">
        <v>534</v>
      </c>
      <c r="B209" s="142" t="s">
        <v>444</v>
      </c>
      <c r="C209" s="143">
        <v>3000</v>
      </c>
      <c r="D209" s="161">
        <v>419.98</v>
      </c>
      <c r="E209" s="161">
        <f>(D209/C209)*100</f>
        <v>13.999333333333333</v>
      </c>
      <c r="F209" s="161"/>
    </row>
    <row r="210" spans="1:6" ht="20.100000000000001" customHeight="1" x14ac:dyDescent="0.2">
      <c r="A210" s="146" t="s">
        <v>27</v>
      </c>
      <c r="B210" s="146" t="s">
        <v>29</v>
      </c>
      <c r="C210" s="145">
        <v>3000</v>
      </c>
      <c r="D210" s="160">
        <v>419.98</v>
      </c>
      <c r="E210" s="160">
        <f>(D210/C210)*100</f>
        <v>13.999333333333333</v>
      </c>
    </row>
    <row r="211" spans="1:6" ht="20.100000000000001" customHeight="1" x14ac:dyDescent="0.2">
      <c r="A211" s="146" t="s">
        <v>17</v>
      </c>
      <c r="B211" s="146" t="s">
        <v>19</v>
      </c>
      <c r="C211" s="145">
        <v>0</v>
      </c>
      <c r="D211" s="160">
        <v>0</v>
      </c>
      <c r="E211" s="160">
        <v>0</v>
      </c>
    </row>
    <row r="212" spans="1:6" ht="24.95" customHeight="1" x14ac:dyDescent="0.2">
      <c r="A212" s="142" t="s">
        <v>537</v>
      </c>
      <c r="B212" s="142" t="s">
        <v>450</v>
      </c>
      <c r="C212" s="143">
        <v>100000</v>
      </c>
      <c r="D212" s="161">
        <v>105050.08</v>
      </c>
      <c r="E212" s="161">
        <f>(D212/C212)*100</f>
        <v>105.05008000000001</v>
      </c>
      <c r="F212" s="162"/>
    </row>
    <row r="213" spans="1:6" ht="20.100000000000001" customHeight="1" x14ac:dyDescent="0.2">
      <c r="A213" s="146" t="s">
        <v>17</v>
      </c>
      <c r="B213" s="146" t="s">
        <v>19</v>
      </c>
      <c r="C213" s="145">
        <v>100000</v>
      </c>
      <c r="D213" s="160">
        <v>105050.08</v>
      </c>
      <c r="E213" s="160">
        <f>(D213/C213)*100</f>
        <v>105.05008000000001</v>
      </c>
    </row>
    <row r="214" spans="1:6" ht="24.95" customHeight="1" x14ac:dyDescent="0.2">
      <c r="A214" s="142" t="s">
        <v>538</v>
      </c>
      <c r="B214" s="142" t="s">
        <v>452</v>
      </c>
      <c r="C214" s="143">
        <v>1000</v>
      </c>
      <c r="D214" s="161">
        <v>0</v>
      </c>
      <c r="E214" s="161">
        <f>(D214/C214)*100</f>
        <v>0</v>
      </c>
      <c r="F214" s="161"/>
    </row>
    <row r="215" spans="1:6" ht="20.100000000000001" customHeight="1" x14ac:dyDescent="0.2">
      <c r="A215" s="146" t="s">
        <v>27</v>
      </c>
      <c r="B215" s="146" t="s">
        <v>29</v>
      </c>
      <c r="C215" s="145">
        <v>1000</v>
      </c>
      <c r="D215" s="160">
        <v>0</v>
      </c>
      <c r="E215" s="160">
        <f>(D215/C215)*100</f>
        <v>0</v>
      </c>
      <c r="F215" s="160"/>
    </row>
    <row r="216" spans="1:6" ht="409.6" hidden="1" customHeight="1" x14ac:dyDescent="0.2"/>
  </sheetData>
  <pageMargins left="0" right="0" top="0" bottom="0.39370078740157483" header="0" footer="0"/>
  <pageSetup paperSize="9" orientation="portrait" r:id="rId1"/>
  <headerFooter alignWithMargins="0">
    <oddFooter>Stranica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2"/>
  <sheetViews>
    <sheetView showGridLines="0" topLeftCell="F1" zoomScale="90" zoomScaleNormal="90" workbookViewId="0">
      <pane ySplit="4" topLeftCell="A5" activePane="bottomLeft" state="frozen"/>
      <selection activeCell="F1" sqref="F1"/>
      <selection pane="bottomLeft" activeCell="F8" sqref="A8:XFD8"/>
    </sheetView>
  </sheetViews>
  <sheetFormatPr defaultColWidth="8.7109375" defaultRowHeight="12.75" outlineLevelRow="1" outlineLevelCol="1" x14ac:dyDescent="0.2"/>
  <cols>
    <col min="1" max="1" width="9.28515625" style="26" hidden="1" customWidth="1" outlineLevel="1"/>
    <col min="2" max="2" width="3.7109375" style="30" hidden="1" customWidth="1" outlineLevel="1"/>
    <col min="3" max="3" width="8.7109375" style="30" hidden="1" customWidth="1" outlineLevel="1"/>
    <col min="4" max="4" width="10.28515625" style="30" hidden="1" customWidth="1" outlineLevel="1"/>
    <col min="5" max="5" width="12.5703125" style="26" hidden="1" customWidth="1" outlineLevel="1"/>
    <col min="6" max="6" width="10.5703125" style="25" customWidth="1" collapsed="1"/>
    <col min="7" max="7" width="45.7109375" style="25" customWidth="1"/>
    <col min="8" max="10" width="14.7109375" style="25" customWidth="1"/>
    <col min="11" max="14" width="13.7109375" style="25" hidden="1" customWidth="1" outlineLevel="1"/>
    <col min="15" max="15" width="13.7109375" style="25" customWidth="1" collapsed="1"/>
    <col min="16" max="22" width="8.7109375" style="25" customWidth="1"/>
    <col min="23" max="16384" width="8.7109375" style="25"/>
  </cols>
  <sheetData>
    <row r="1" spans="1:10" ht="20.100000000000001" customHeight="1" x14ac:dyDescent="0.2">
      <c r="F1" s="217"/>
      <c r="G1" s="217"/>
      <c r="H1" s="217"/>
      <c r="I1" s="217"/>
    </row>
    <row r="2" spans="1:10" ht="20.100000000000001" customHeight="1" x14ac:dyDescent="0.2">
      <c r="F2" s="223" t="s">
        <v>462</v>
      </c>
      <c r="G2" s="223"/>
      <c r="H2" s="223"/>
      <c r="I2" s="223"/>
      <c r="J2" s="223"/>
    </row>
    <row r="3" spans="1:10" ht="20.100000000000001" customHeight="1" thickBot="1" x14ac:dyDescent="0.25">
      <c r="J3" s="83"/>
    </row>
    <row r="4" spans="1:10" ht="35.1" customHeight="1" thickBot="1" x14ac:dyDescent="0.25">
      <c r="F4" s="80" t="s">
        <v>3</v>
      </c>
      <c r="G4" s="80" t="s">
        <v>5</v>
      </c>
      <c r="H4" s="80" t="s">
        <v>461</v>
      </c>
      <c r="I4" s="80" t="s">
        <v>458</v>
      </c>
      <c r="J4" s="80" t="s">
        <v>460</v>
      </c>
    </row>
    <row r="5" spans="1:10" ht="18" customHeight="1" thickBot="1" x14ac:dyDescent="0.25">
      <c r="F5" s="81">
        <v>1</v>
      </c>
      <c r="G5" s="81">
        <v>2</v>
      </c>
      <c r="H5" s="81">
        <v>3</v>
      </c>
      <c r="I5" s="81">
        <v>4</v>
      </c>
      <c r="J5" s="81">
        <v>5</v>
      </c>
    </row>
    <row r="6" spans="1:10" ht="20.100000000000001" customHeight="1" thickBot="1" x14ac:dyDescent="0.25">
      <c r="F6" s="224" t="s">
        <v>459</v>
      </c>
      <c r="G6" s="224"/>
      <c r="H6" s="239">
        <f>H8+H109+H161+H164+H168</f>
        <v>0</v>
      </c>
      <c r="I6" s="239">
        <f t="shared" ref="I6:J6" si="0">I8+I109+I161+I164+I168</f>
        <v>23471400</v>
      </c>
      <c r="J6" s="239">
        <f t="shared" si="0"/>
        <v>23268572.130000003</v>
      </c>
    </row>
    <row r="7" spans="1:10" ht="20.100000000000001" customHeight="1" thickBot="1" x14ac:dyDescent="0.25">
      <c r="F7" s="224"/>
      <c r="G7" s="224"/>
      <c r="H7" s="240"/>
      <c r="I7" s="240"/>
      <c r="J7" s="240"/>
    </row>
    <row r="8" spans="1:10" ht="35.1" customHeight="1" collapsed="1" thickBot="1" x14ac:dyDescent="0.25">
      <c r="F8" s="225" t="s">
        <v>55</v>
      </c>
      <c r="G8" s="225"/>
      <c r="H8" s="82">
        <f>H9+H35+H37+H64+H93+H99+H107</f>
        <v>0</v>
      </c>
      <c r="I8" s="82">
        <f>I9+I35+I37+I64+I93+I99+I107</f>
        <v>20148300</v>
      </c>
      <c r="J8" s="82">
        <f>J9+J35+J37+J64+J93+J99+J107</f>
        <v>20487727.300000001</v>
      </c>
    </row>
    <row r="9" spans="1:10" ht="24.95" customHeight="1" x14ac:dyDescent="0.2">
      <c r="F9" s="230" t="s">
        <v>56</v>
      </c>
      <c r="G9" s="230"/>
      <c r="H9" s="79">
        <f>SUMIFS(H11:H181,$A11:$A181,"A212401",$B11:$B181,"112")</f>
        <v>0</v>
      </c>
      <c r="I9" s="79">
        <f>SUMIFS(I11:I181,$A11:$A181,"A212401",$B11:$B181,"112")</f>
        <v>18447700</v>
      </c>
      <c r="J9" s="79">
        <f>SUMIFS(J11:J181,$A11:$A181,"A212401",$B11:$B181,"112")</f>
        <v>18790381.359999999</v>
      </c>
    </row>
    <row r="10" spans="1:10" ht="20.100000000000001" customHeight="1" outlineLevel="1" x14ac:dyDescent="0.2">
      <c r="F10" s="84"/>
      <c r="G10" s="84"/>
      <c r="H10" s="85"/>
      <c r="I10" s="85"/>
      <c r="J10" s="85"/>
    </row>
    <row r="11" spans="1:10" ht="20.100000000000001" customHeight="1" outlineLevel="1" x14ac:dyDescent="0.2">
      <c r="A11" s="26" t="s">
        <v>327</v>
      </c>
      <c r="B11" s="30">
        <v>112</v>
      </c>
      <c r="C11" s="30" t="str">
        <f t="shared" ref="C11:C34" si="1">LEFT(F11,1)</f>
        <v>3</v>
      </c>
      <c r="D11" s="30" t="str">
        <f t="shared" ref="D11:D34" si="2">LEFT(F11,2)</f>
        <v>31</v>
      </c>
      <c r="E11" s="26" t="str">
        <f t="shared" ref="E11:E34" si="3">LEFT(F11,3)</f>
        <v>311</v>
      </c>
      <c r="F11" s="86" t="s">
        <v>57</v>
      </c>
      <c r="G11" s="86" t="s">
        <v>59</v>
      </c>
      <c r="H11" s="87"/>
      <c r="I11" s="87">
        <v>13944200</v>
      </c>
      <c r="J11" s="87">
        <v>13962614.67</v>
      </c>
    </row>
    <row r="12" spans="1:10" ht="20.100000000000001" customHeight="1" outlineLevel="1" x14ac:dyDescent="0.2">
      <c r="A12" s="26" t="s">
        <v>327</v>
      </c>
      <c r="B12" s="30">
        <v>112</v>
      </c>
      <c r="C12" s="30" t="str">
        <f t="shared" si="1"/>
        <v>3</v>
      </c>
      <c r="D12" s="30" t="str">
        <f t="shared" si="2"/>
        <v>31</v>
      </c>
      <c r="E12" s="26" t="str">
        <f t="shared" si="3"/>
        <v>312</v>
      </c>
      <c r="F12" s="86" t="s">
        <v>60</v>
      </c>
      <c r="G12" s="86" t="s">
        <v>62</v>
      </c>
      <c r="H12" s="87"/>
      <c r="I12" s="87">
        <v>899400</v>
      </c>
      <c r="J12" s="87">
        <v>1282770.57</v>
      </c>
    </row>
    <row r="13" spans="1:10" ht="20.100000000000001" customHeight="1" outlineLevel="1" x14ac:dyDescent="0.2">
      <c r="A13" s="26" t="s">
        <v>327</v>
      </c>
      <c r="B13" s="30">
        <v>112</v>
      </c>
      <c r="C13" s="30" t="str">
        <f t="shared" si="1"/>
        <v>3</v>
      </c>
      <c r="D13" s="30" t="str">
        <f t="shared" si="2"/>
        <v>31</v>
      </c>
      <c r="E13" s="26" t="str">
        <f t="shared" si="3"/>
        <v>313</v>
      </c>
      <c r="F13" s="86" t="s">
        <v>63</v>
      </c>
      <c r="G13" s="86" t="s">
        <v>65</v>
      </c>
      <c r="H13" s="87"/>
      <c r="I13" s="87">
        <v>2231900</v>
      </c>
      <c r="J13" s="87">
        <v>2240298.54</v>
      </c>
    </row>
    <row r="14" spans="1:10" ht="20.100000000000001" customHeight="1" outlineLevel="1" x14ac:dyDescent="0.2">
      <c r="A14" s="26" t="s">
        <v>327</v>
      </c>
      <c r="B14" s="30">
        <v>112</v>
      </c>
      <c r="C14" s="30" t="str">
        <f t="shared" si="1"/>
        <v>3</v>
      </c>
      <c r="D14" s="30" t="str">
        <f t="shared" si="2"/>
        <v>32</v>
      </c>
      <c r="E14" s="26" t="str">
        <f t="shared" si="3"/>
        <v>321</v>
      </c>
      <c r="F14" s="86" t="s">
        <v>66</v>
      </c>
      <c r="G14" s="86" t="s">
        <v>68</v>
      </c>
      <c r="H14" s="87"/>
      <c r="I14" s="87">
        <v>321000</v>
      </c>
      <c r="J14" s="87">
        <v>311375.78999999998</v>
      </c>
    </row>
    <row r="15" spans="1:10" ht="20.100000000000001" customHeight="1" outlineLevel="1" x14ac:dyDescent="0.2">
      <c r="A15" s="26" t="s">
        <v>327</v>
      </c>
      <c r="B15" s="30">
        <v>112</v>
      </c>
      <c r="C15" s="30" t="str">
        <f t="shared" si="1"/>
        <v>3</v>
      </c>
      <c r="D15" s="30" t="str">
        <f t="shared" si="2"/>
        <v>32</v>
      </c>
      <c r="E15" s="26" t="str">
        <f t="shared" si="3"/>
        <v>321</v>
      </c>
      <c r="F15" s="86" t="s">
        <v>69</v>
      </c>
      <c r="G15" s="86" t="s">
        <v>71</v>
      </c>
      <c r="H15" s="87"/>
      <c r="I15" s="87">
        <v>25000</v>
      </c>
      <c r="J15" s="87">
        <v>26755.89</v>
      </c>
    </row>
    <row r="16" spans="1:10" ht="20.100000000000001" customHeight="1" outlineLevel="1" x14ac:dyDescent="0.2">
      <c r="A16" s="26" t="s">
        <v>327</v>
      </c>
      <c r="B16" s="30">
        <v>112</v>
      </c>
      <c r="C16" s="30" t="str">
        <f t="shared" si="1"/>
        <v>3</v>
      </c>
      <c r="D16" s="30" t="str">
        <f t="shared" si="2"/>
        <v>32</v>
      </c>
      <c r="E16" s="26" t="str">
        <f t="shared" si="3"/>
        <v>322</v>
      </c>
      <c r="F16" s="86" t="s">
        <v>72</v>
      </c>
      <c r="G16" s="86" t="s">
        <v>74</v>
      </c>
      <c r="H16" s="87"/>
      <c r="I16" s="87">
        <v>4500</v>
      </c>
      <c r="J16" s="87">
        <v>4545</v>
      </c>
    </row>
    <row r="17" spans="1:10" ht="20.100000000000001" customHeight="1" outlineLevel="1" x14ac:dyDescent="0.2">
      <c r="A17" s="26" t="s">
        <v>327</v>
      </c>
      <c r="B17" s="30">
        <v>112</v>
      </c>
      <c r="C17" s="30" t="str">
        <f t="shared" si="1"/>
        <v>3</v>
      </c>
      <c r="D17" s="30" t="str">
        <f t="shared" si="2"/>
        <v>32</v>
      </c>
      <c r="E17" s="26" t="str">
        <f t="shared" si="3"/>
        <v>322</v>
      </c>
      <c r="F17" s="86" t="s">
        <v>75</v>
      </c>
      <c r="G17" s="86" t="s">
        <v>77</v>
      </c>
      <c r="H17" s="87"/>
      <c r="I17" s="87">
        <v>43400</v>
      </c>
      <c r="J17" s="87">
        <v>7878.08</v>
      </c>
    </row>
    <row r="18" spans="1:10" ht="20.100000000000001" customHeight="1" outlineLevel="1" x14ac:dyDescent="0.2">
      <c r="A18" s="26" t="s">
        <v>327</v>
      </c>
      <c r="B18" s="30">
        <v>112</v>
      </c>
      <c r="C18" s="30" t="str">
        <f t="shared" si="1"/>
        <v>3</v>
      </c>
      <c r="D18" s="30" t="str">
        <f t="shared" si="2"/>
        <v>32</v>
      </c>
      <c r="E18" s="26" t="str">
        <f t="shared" si="3"/>
        <v>322</v>
      </c>
      <c r="F18" s="86" t="s">
        <v>78</v>
      </c>
      <c r="G18" s="86" t="s">
        <v>80</v>
      </c>
      <c r="H18" s="87"/>
      <c r="I18" s="87">
        <v>446900</v>
      </c>
      <c r="J18" s="87">
        <v>407807.11</v>
      </c>
    </row>
    <row r="19" spans="1:10" ht="20.100000000000001" customHeight="1" outlineLevel="1" x14ac:dyDescent="0.2">
      <c r="A19" s="26" t="s">
        <v>327</v>
      </c>
      <c r="B19" s="30">
        <v>112</v>
      </c>
      <c r="C19" s="30" t="str">
        <f t="shared" si="1"/>
        <v>3</v>
      </c>
      <c r="D19" s="30" t="str">
        <f t="shared" si="2"/>
        <v>32</v>
      </c>
      <c r="E19" s="26" t="str">
        <f t="shared" si="3"/>
        <v>322</v>
      </c>
      <c r="F19" s="86" t="s">
        <v>81</v>
      </c>
      <c r="G19" s="86" t="s">
        <v>83</v>
      </c>
      <c r="H19" s="87"/>
      <c r="I19" s="87">
        <v>5000</v>
      </c>
      <c r="J19" s="87">
        <v>5000</v>
      </c>
    </row>
    <row r="20" spans="1:10" ht="20.100000000000001" customHeight="1" outlineLevel="1" x14ac:dyDescent="0.2">
      <c r="A20" s="26" t="s">
        <v>327</v>
      </c>
      <c r="B20" s="30">
        <v>112</v>
      </c>
      <c r="C20" s="30" t="str">
        <f t="shared" si="1"/>
        <v>3</v>
      </c>
      <c r="D20" s="30" t="str">
        <f t="shared" si="2"/>
        <v>32</v>
      </c>
      <c r="E20" s="26" t="str">
        <f t="shared" si="3"/>
        <v>322</v>
      </c>
      <c r="F20" s="86" t="s">
        <v>84</v>
      </c>
      <c r="G20" s="86" t="s">
        <v>86</v>
      </c>
      <c r="H20" s="87"/>
      <c r="I20" s="87">
        <v>0</v>
      </c>
      <c r="J20" s="87"/>
    </row>
    <row r="21" spans="1:10" ht="20.100000000000001" customHeight="1" outlineLevel="1" x14ac:dyDescent="0.2">
      <c r="A21" s="26" t="s">
        <v>327</v>
      </c>
      <c r="B21" s="30">
        <v>112</v>
      </c>
      <c r="C21" s="30" t="str">
        <f t="shared" si="1"/>
        <v>3</v>
      </c>
      <c r="D21" s="30" t="str">
        <f t="shared" si="2"/>
        <v>32</v>
      </c>
      <c r="E21" s="26" t="str">
        <f t="shared" si="3"/>
        <v>323</v>
      </c>
      <c r="F21" s="86" t="s">
        <v>87</v>
      </c>
      <c r="G21" s="86" t="s">
        <v>89</v>
      </c>
      <c r="H21" s="87"/>
      <c r="I21" s="87">
        <v>4000</v>
      </c>
      <c r="J21" s="87">
        <v>4000</v>
      </c>
    </row>
    <row r="22" spans="1:10" ht="20.100000000000001" customHeight="1" outlineLevel="1" x14ac:dyDescent="0.2">
      <c r="A22" s="26" t="s">
        <v>327</v>
      </c>
      <c r="B22" s="30">
        <v>112</v>
      </c>
      <c r="C22" s="30" t="str">
        <f t="shared" si="1"/>
        <v>3</v>
      </c>
      <c r="D22" s="30" t="str">
        <f t="shared" si="2"/>
        <v>32</v>
      </c>
      <c r="E22" s="26" t="str">
        <f t="shared" si="3"/>
        <v>323</v>
      </c>
      <c r="F22" s="86" t="s">
        <v>38</v>
      </c>
      <c r="G22" s="86" t="s">
        <v>40</v>
      </c>
      <c r="H22" s="87"/>
      <c r="I22" s="87">
        <v>10000</v>
      </c>
      <c r="J22" s="87">
        <v>10292.129999999999</v>
      </c>
    </row>
    <row r="23" spans="1:10" ht="20.100000000000001" customHeight="1" outlineLevel="1" x14ac:dyDescent="0.2">
      <c r="A23" s="26" t="s">
        <v>327</v>
      </c>
      <c r="B23" s="30">
        <v>112</v>
      </c>
      <c r="C23" s="30" t="str">
        <f t="shared" si="1"/>
        <v>3</v>
      </c>
      <c r="D23" s="30" t="str">
        <f t="shared" si="2"/>
        <v>32</v>
      </c>
      <c r="E23" s="26" t="str">
        <f t="shared" si="3"/>
        <v>323</v>
      </c>
      <c r="F23" s="86" t="s">
        <v>91</v>
      </c>
      <c r="G23" s="86" t="s">
        <v>93</v>
      </c>
      <c r="H23" s="87"/>
      <c r="I23" s="87">
        <v>30000</v>
      </c>
      <c r="J23" s="87">
        <v>25094.49</v>
      </c>
    </row>
    <row r="24" spans="1:10" ht="20.100000000000001" customHeight="1" outlineLevel="1" x14ac:dyDescent="0.2">
      <c r="A24" s="26" t="s">
        <v>327</v>
      </c>
      <c r="B24" s="30">
        <v>112</v>
      </c>
      <c r="C24" s="30" t="str">
        <f t="shared" si="1"/>
        <v>3</v>
      </c>
      <c r="D24" s="30" t="str">
        <f t="shared" si="2"/>
        <v>32</v>
      </c>
      <c r="E24" s="26" t="str">
        <f t="shared" si="3"/>
        <v>323</v>
      </c>
      <c r="F24" s="86" t="s">
        <v>94</v>
      </c>
      <c r="G24" s="86" t="s">
        <v>96</v>
      </c>
      <c r="H24" s="87"/>
      <c r="I24" s="87">
        <v>134300</v>
      </c>
      <c r="J24" s="87">
        <v>150922.5</v>
      </c>
    </row>
    <row r="25" spans="1:10" ht="20.100000000000001" customHeight="1" outlineLevel="1" x14ac:dyDescent="0.2">
      <c r="A25" s="26" t="s">
        <v>327</v>
      </c>
      <c r="B25" s="30">
        <v>112</v>
      </c>
      <c r="C25" s="30" t="str">
        <f t="shared" si="1"/>
        <v>3</v>
      </c>
      <c r="D25" s="30" t="str">
        <f t="shared" si="2"/>
        <v>32</v>
      </c>
      <c r="E25" s="26" t="str">
        <f t="shared" si="3"/>
        <v>323</v>
      </c>
      <c r="F25" s="86" t="s">
        <v>97</v>
      </c>
      <c r="G25" s="86" t="s">
        <v>99</v>
      </c>
      <c r="H25" s="87"/>
      <c r="I25" s="87">
        <v>117500</v>
      </c>
      <c r="J25" s="87">
        <v>118372.66</v>
      </c>
    </row>
    <row r="26" spans="1:10" ht="20.100000000000001" customHeight="1" outlineLevel="1" x14ac:dyDescent="0.2">
      <c r="A26" s="26" t="s">
        <v>327</v>
      </c>
      <c r="B26" s="30">
        <v>112</v>
      </c>
      <c r="C26" s="30" t="str">
        <f t="shared" si="1"/>
        <v>3</v>
      </c>
      <c r="D26" s="30" t="str">
        <f t="shared" si="2"/>
        <v>32</v>
      </c>
      <c r="E26" s="26" t="str">
        <f t="shared" si="3"/>
        <v>323</v>
      </c>
      <c r="F26" s="86" t="s">
        <v>100</v>
      </c>
      <c r="G26" s="86" t="s">
        <v>102</v>
      </c>
      <c r="H26" s="87"/>
      <c r="I26" s="87">
        <v>54000</v>
      </c>
      <c r="J26" s="87">
        <v>25415</v>
      </c>
    </row>
    <row r="27" spans="1:10" ht="20.100000000000001" customHeight="1" outlineLevel="1" x14ac:dyDescent="0.2">
      <c r="A27" s="26" t="s">
        <v>327</v>
      </c>
      <c r="B27" s="30">
        <v>112</v>
      </c>
      <c r="C27" s="30" t="str">
        <f t="shared" si="1"/>
        <v>3</v>
      </c>
      <c r="D27" s="30" t="str">
        <f t="shared" si="2"/>
        <v>32</v>
      </c>
      <c r="E27" s="26" t="str">
        <f t="shared" si="3"/>
        <v>323</v>
      </c>
      <c r="F27" s="86" t="s">
        <v>41</v>
      </c>
      <c r="G27" s="86" t="s">
        <v>43</v>
      </c>
      <c r="H27" s="87"/>
      <c r="I27" s="87">
        <v>95600</v>
      </c>
      <c r="J27" s="87">
        <v>111712.14</v>
      </c>
    </row>
    <row r="28" spans="1:10" ht="20.100000000000001" customHeight="1" outlineLevel="1" x14ac:dyDescent="0.2">
      <c r="A28" s="26" t="s">
        <v>327</v>
      </c>
      <c r="B28" s="30">
        <v>112</v>
      </c>
      <c r="C28" s="30" t="str">
        <f t="shared" si="1"/>
        <v>3</v>
      </c>
      <c r="D28" s="30" t="str">
        <f t="shared" si="2"/>
        <v>32</v>
      </c>
      <c r="E28" s="26" t="str">
        <f t="shared" si="3"/>
        <v>323</v>
      </c>
      <c r="F28" s="86" t="s">
        <v>104</v>
      </c>
      <c r="G28" s="86" t="s">
        <v>106</v>
      </c>
      <c r="H28" s="87"/>
      <c r="I28" s="87">
        <v>50000</v>
      </c>
      <c r="J28" s="87">
        <v>50000</v>
      </c>
    </row>
    <row r="29" spans="1:10" ht="20.100000000000001" customHeight="1" outlineLevel="1" x14ac:dyDescent="0.2">
      <c r="A29" s="26" t="s">
        <v>327</v>
      </c>
      <c r="B29" s="30">
        <v>112</v>
      </c>
      <c r="C29" s="30" t="str">
        <f t="shared" si="1"/>
        <v>3</v>
      </c>
      <c r="D29" s="30" t="str">
        <f t="shared" si="2"/>
        <v>32</v>
      </c>
      <c r="E29" s="26" t="str">
        <f t="shared" si="3"/>
        <v>329</v>
      </c>
      <c r="F29" s="86" t="s">
        <v>107</v>
      </c>
      <c r="G29" s="86" t="s">
        <v>109</v>
      </c>
      <c r="H29" s="87"/>
      <c r="I29" s="87">
        <v>4000</v>
      </c>
      <c r="J29" s="87">
        <v>5083.92</v>
      </c>
    </row>
    <row r="30" spans="1:10" ht="20.100000000000001" customHeight="1" outlineLevel="1" x14ac:dyDescent="0.2">
      <c r="A30" s="26" t="s">
        <v>327</v>
      </c>
      <c r="B30" s="30">
        <v>112</v>
      </c>
      <c r="C30" s="30" t="str">
        <f t="shared" si="1"/>
        <v>3</v>
      </c>
      <c r="D30" s="30" t="str">
        <f t="shared" si="2"/>
        <v>32</v>
      </c>
      <c r="E30" s="26" t="str">
        <f t="shared" si="3"/>
        <v>329</v>
      </c>
      <c r="F30" s="86" t="s">
        <v>110</v>
      </c>
      <c r="G30" s="86" t="s">
        <v>112</v>
      </c>
      <c r="H30" s="87"/>
      <c r="I30" s="87">
        <v>25000</v>
      </c>
      <c r="J30" s="87">
        <v>24824.87</v>
      </c>
    </row>
    <row r="31" spans="1:10" ht="20.100000000000001" customHeight="1" outlineLevel="1" x14ac:dyDescent="0.2">
      <c r="A31" s="26" t="s">
        <v>327</v>
      </c>
      <c r="B31" s="30">
        <v>112</v>
      </c>
      <c r="C31" s="30" t="str">
        <f t="shared" si="1"/>
        <v>3</v>
      </c>
      <c r="D31" s="30" t="str">
        <f t="shared" si="2"/>
        <v>32</v>
      </c>
      <c r="E31" s="26" t="str">
        <f t="shared" si="3"/>
        <v>329</v>
      </c>
      <c r="F31" s="86" t="s">
        <v>113</v>
      </c>
      <c r="G31" s="86" t="s">
        <v>115</v>
      </c>
      <c r="H31" s="87"/>
      <c r="I31" s="87">
        <v>0</v>
      </c>
      <c r="J31" s="87"/>
    </row>
    <row r="32" spans="1:10" ht="20.100000000000001" customHeight="1" outlineLevel="1" x14ac:dyDescent="0.2">
      <c r="A32" s="26" t="s">
        <v>327</v>
      </c>
      <c r="B32" s="30">
        <v>112</v>
      </c>
      <c r="C32" s="30" t="str">
        <f t="shared" si="1"/>
        <v>3</v>
      </c>
      <c r="D32" s="30" t="str">
        <f t="shared" si="2"/>
        <v>32</v>
      </c>
      <c r="E32" s="26" t="str">
        <f t="shared" si="3"/>
        <v>329</v>
      </c>
      <c r="F32" s="86" t="s">
        <v>116</v>
      </c>
      <c r="G32" s="86" t="s">
        <v>118</v>
      </c>
      <c r="H32" s="87"/>
      <c r="I32" s="87">
        <v>1000</v>
      </c>
      <c r="J32" s="87">
        <v>14618</v>
      </c>
    </row>
    <row r="33" spans="1:16" ht="20.100000000000001" customHeight="1" outlineLevel="1" x14ac:dyDescent="0.2">
      <c r="A33" s="26" t="s">
        <v>327</v>
      </c>
      <c r="B33" s="30">
        <v>112</v>
      </c>
      <c r="C33" s="30" t="str">
        <f t="shared" si="1"/>
        <v>3</v>
      </c>
      <c r="D33" s="30" t="str">
        <f t="shared" si="2"/>
        <v>34</v>
      </c>
      <c r="E33" s="26" t="str">
        <f t="shared" si="3"/>
        <v>343</v>
      </c>
      <c r="F33" s="86" t="s">
        <v>119</v>
      </c>
      <c r="G33" s="86" t="s">
        <v>121</v>
      </c>
      <c r="H33" s="87"/>
      <c r="I33" s="87">
        <v>1000</v>
      </c>
      <c r="J33" s="87">
        <v>1000</v>
      </c>
    </row>
    <row r="34" spans="1:16" ht="20.100000000000001" customHeight="1" outlineLevel="1" x14ac:dyDescent="0.2">
      <c r="A34" s="26" t="s">
        <v>327</v>
      </c>
      <c r="B34" s="30">
        <v>112</v>
      </c>
      <c r="C34" s="30" t="str">
        <f t="shared" si="1"/>
        <v>3</v>
      </c>
      <c r="D34" s="30" t="str">
        <f t="shared" si="2"/>
        <v>36</v>
      </c>
      <c r="E34" s="26" t="str">
        <f t="shared" si="3"/>
        <v>369</v>
      </c>
      <c r="F34" s="88" t="s">
        <v>122</v>
      </c>
      <c r="G34" s="88" t="s">
        <v>124</v>
      </c>
      <c r="H34" s="89"/>
      <c r="I34" s="89">
        <v>0</v>
      </c>
      <c r="J34" s="89"/>
    </row>
    <row r="35" spans="1:16" ht="24.95" customHeight="1" x14ac:dyDescent="0.2">
      <c r="F35" s="230" t="s">
        <v>125</v>
      </c>
      <c r="G35" s="230"/>
      <c r="H35" s="79">
        <f>SUMIFS(H36:H205,$A36:$A205,"A212401",$B36:$B205,"311")</f>
        <v>0</v>
      </c>
      <c r="I35" s="79">
        <f>SUMIFS(I36:I205,$A36:$A205,"A212401",$B36:$B205,"311")</f>
        <v>18300</v>
      </c>
      <c r="J35" s="79">
        <f>SUMIFS(J36:J205,$A36:$A205,"A212401",$B36:$B205,"311")</f>
        <v>8389.26</v>
      </c>
    </row>
    <row r="36" spans="1:16" ht="20.100000000000001" customHeight="1" outlineLevel="1" x14ac:dyDescent="0.2">
      <c r="A36" s="26" t="s">
        <v>327</v>
      </c>
      <c r="B36" s="30">
        <v>311</v>
      </c>
      <c r="C36" s="30" t="str">
        <f>LEFT(F36,1)</f>
        <v>3</v>
      </c>
      <c r="D36" s="30" t="str">
        <f>LEFT(F36,2)</f>
        <v>32</v>
      </c>
      <c r="E36" s="26" t="str">
        <f t="shared" ref="E36:E101" si="4">LEFT(F36,3)</f>
        <v>323</v>
      </c>
      <c r="F36" s="26" t="s">
        <v>126</v>
      </c>
      <c r="G36" s="26" t="s">
        <v>128</v>
      </c>
      <c r="H36" s="27"/>
      <c r="I36" s="27">
        <v>18300</v>
      </c>
      <c r="J36" s="27">
        <v>8389.26</v>
      </c>
    </row>
    <row r="37" spans="1:16" ht="24.95" customHeight="1" x14ac:dyDescent="0.2">
      <c r="F37" s="230" t="s">
        <v>129</v>
      </c>
      <c r="G37" s="230"/>
      <c r="H37" s="79">
        <f>SUMIFS(H38:H207,$A38:$A207,"A212401",$B38:$B207,"431")</f>
        <v>0</v>
      </c>
      <c r="I37" s="79">
        <f>SUMIFS(I38:I207,$A38:$A207,"A212401",$B38:$B207,"431")</f>
        <v>963300</v>
      </c>
      <c r="J37" s="79">
        <f>SUMIFS(J38:J207,$A38:$A207,"A212401",$B38:$B207,"431")</f>
        <v>826259.47999999975</v>
      </c>
      <c r="P37" s="25" t="s">
        <v>373</v>
      </c>
    </row>
    <row r="38" spans="1:16" ht="20.100000000000001" customHeight="1" outlineLevel="1" x14ac:dyDescent="0.2">
      <c r="A38" s="26" t="s">
        <v>327</v>
      </c>
      <c r="B38" s="30">
        <v>431</v>
      </c>
      <c r="C38" s="30" t="str">
        <f t="shared" ref="C38:C63" si="5">LEFT(F38,1)</f>
        <v>3</v>
      </c>
      <c r="D38" s="30" t="str">
        <f t="shared" ref="D38:D63" si="6">LEFT(F38,2)</f>
        <v>32</v>
      </c>
      <c r="E38" s="26" t="str">
        <f t="shared" si="4"/>
        <v>321</v>
      </c>
      <c r="F38" s="26" t="s">
        <v>130</v>
      </c>
      <c r="G38" s="26" t="s">
        <v>132</v>
      </c>
      <c r="H38" s="27"/>
      <c r="I38" s="27">
        <v>12000</v>
      </c>
      <c r="J38" s="27">
        <v>21376.04</v>
      </c>
    </row>
    <row r="39" spans="1:16" ht="20.100000000000001" customHeight="1" outlineLevel="1" x14ac:dyDescent="0.2">
      <c r="A39" s="26" t="s">
        <v>327</v>
      </c>
      <c r="B39" s="30">
        <v>431</v>
      </c>
      <c r="C39" s="30" t="str">
        <f>LEFT(F39,1)</f>
        <v>3</v>
      </c>
      <c r="D39" s="30" t="str">
        <f>LEFT(F39,2)</f>
        <v>32</v>
      </c>
      <c r="E39" s="26" t="str">
        <f>LEFT(F39,3)</f>
        <v>321</v>
      </c>
      <c r="F39" s="65">
        <v>3212</v>
      </c>
      <c r="G39" s="26" t="s">
        <v>68</v>
      </c>
      <c r="H39" s="27"/>
      <c r="I39" s="27"/>
      <c r="J39" s="27">
        <v>9.4499999999999993</v>
      </c>
    </row>
    <row r="40" spans="1:16" ht="20.100000000000001" customHeight="1" outlineLevel="1" x14ac:dyDescent="0.2">
      <c r="A40" s="26" t="s">
        <v>327</v>
      </c>
      <c r="B40" s="30">
        <v>431</v>
      </c>
      <c r="C40" s="30" t="str">
        <f t="shared" si="5"/>
        <v>3</v>
      </c>
      <c r="D40" s="30" t="str">
        <f t="shared" si="6"/>
        <v>32</v>
      </c>
      <c r="E40" s="26" t="str">
        <f t="shared" si="4"/>
        <v>321</v>
      </c>
      <c r="F40" s="26" t="s">
        <v>69</v>
      </c>
      <c r="G40" s="26" t="s">
        <v>71</v>
      </c>
      <c r="H40" s="27"/>
      <c r="I40" s="27">
        <v>5000</v>
      </c>
      <c r="J40" s="27">
        <v>1051.75</v>
      </c>
    </row>
    <row r="41" spans="1:16" ht="20.100000000000001" customHeight="1" outlineLevel="1" x14ac:dyDescent="0.2">
      <c r="A41" s="26" t="s">
        <v>327</v>
      </c>
      <c r="B41" s="30">
        <v>431</v>
      </c>
      <c r="C41" s="30" t="str">
        <f t="shared" si="5"/>
        <v>3</v>
      </c>
      <c r="D41" s="30" t="str">
        <f t="shared" si="6"/>
        <v>32</v>
      </c>
      <c r="E41" s="26" t="str">
        <f t="shared" si="4"/>
        <v>322</v>
      </c>
      <c r="F41" s="26" t="s">
        <v>72</v>
      </c>
      <c r="G41" s="26" t="s">
        <v>74</v>
      </c>
      <c r="H41" s="27"/>
      <c r="I41" s="27">
        <v>73000</v>
      </c>
      <c r="J41" s="27">
        <v>62702.37</v>
      </c>
    </row>
    <row r="42" spans="1:16" ht="20.100000000000001" customHeight="1" outlineLevel="1" x14ac:dyDescent="0.2">
      <c r="A42" s="26" t="s">
        <v>327</v>
      </c>
      <c r="B42" s="30">
        <v>431</v>
      </c>
      <c r="C42" s="30" t="str">
        <f t="shared" si="5"/>
        <v>3</v>
      </c>
      <c r="D42" s="30" t="str">
        <f t="shared" si="6"/>
        <v>32</v>
      </c>
      <c r="E42" s="26" t="str">
        <f t="shared" si="4"/>
        <v>322</v>
      </c>
      <c r="F42" s="26" t="s">
        <v>75</v>
      </c>
      <c r="G42" s="26" t="s">
        <v>77</v>
      </c>
      <c r="H42" s="27"/>
      <c r="I42" s="27">
        <v>64000</v>
      </c>
      <c r="J42" s="27">
        <v>45710.93</v>
      </c>
    </row>
    <row r="43" spans="1:16" ht="20.100000000000001" customHeight="1" outlineLevel="1" x14ac:dyDescent="0.2">
      <c r="A43" s="26" t="s">
        <v>327</v>
      </c>
      <c r="B43" s="30">
        <v>431</v>
      </c>
      <c r="C43" s="30" t="str">
        <f>LEFT(F43,1)</f>
        <v>3</v>
      </c>
      <c r="D43" s="30" t="str">
        <f>LEFT(F43,2)</f>
        <v>32</v>
      </c>
      <c r="E43" s="26" t="str">
        <f>LEFT(F43,3)</f>
        <v>322</v>
      </c>
      <c r="F43" s="65">
        <v>3223</v>
      </c>
      <c r="G43" s="26" t="s">
        <v>80</v>
      </c>
      <c r="H43" s="27"/>
      <c r="I43" s="27"/>
      <c r="J43" s="27">
        <v>4.59</v>
      </c>
    </row>
    <row r="44" spans="1:16" ht="20.100000000000001" customHeight="1" outlineLevel="1" x14ac:dyDescent="0.2">
      <c r="A44" s="26" t="s">
        <v>327</v>
      </c>
      <c r="B44" s="30">
        <v>431</v>
      </c>
      <c r="C44" s="30" t="str">
        <f t="shared" si="5"/>
        <v>3</v>
      </c>
      <c r="D44" s="30" t="str">
        <f t="shared" si="6"/>
        <v>32</v>
      </c>
      <c r="E44" s="26" t="str">
        <f t="shared" si="4"/>
        <v>322</v>
      </c>
      <c r="F44" s="26" t="s">
        <v>81</v>
      </c>
      <c r="G44" s="26" t="s">
        <v>83</v>
      </c>
      <c r="H44" s="27"/>
      <c r="I44" s="27">
        <v>33000</v>
      </c>
      <c r="J44" s="27">
        <v>21583.88</v>
      </c>
    </row>
    <row r="45" spans="1:16" ht="20.100000000000001" customHeight="1" outlineLevel="1" x14ac:dyDescent="0.2">
      <c r="A45" s="26" t="s">
        <v>327</v>
      </c>
      <c r="B45" s="30">
        <v>431</v>
      </c>
      <c r="C45" s="30" t="str">
        <f t="shared" si="5"/>
        <v>3</v>
      </c>
      <c r="D45" s="30" t="str">
        <f t="shared" si="6"/>
        <v>32</v>
      </c>
      <c r="E45" s="26" t="str">
        <f t="shared" si="4"/>
        <v>322</v>
      </c>
      <c r="F45" s="26" t="s">
        <v>84</v>
      </c>
      <c r="G45" s="26" t="s">
        <v>86</v>
      </c>
      <c r="H45" s="27"/>
      <c r="I45" s="27">
        <v>5000</v>
      </c>
      <c r="J45" s="27">
        <v>6176.81</v>
      </c>
    </row>
    <row r="46" spans="1:16" ht="20.100000000000001" customHeight="1" outlineLevel="1" x14ac:dyDescent="0.2">
      <c r="A46" s="26" t="s">
        <v>327</v>
      </c>
      <c r="B46" s="30">
        <v>431</v>
      </c>
      <c r="C46" s="30" t="str">
        <f t="shared" si="5"/>
        <v>3</v>
      </c>
      <c r="D46" s="30" t="str">
        <f t="shared" si="6"/>
        <v>32</v>
      </c>
      <c r="E46" s="26" t="str">
        <f t="shared" si="4"/>
        <v>322</v>
      </c>
      <c r="F46" s="26" t="s">
        <v>138</v>
      </c>
      <c r="G46" s="26" t="s">
        <v>140</v>
      </c>
      <c r="H46" s="27"/>
      <c r="I46" s="27">
        <v>4000</v>
      </c>
      <c r="J46" s="27">
        <v>2740.27</v>
      </c>
    </row>
    <row r="47" spans="1:16" ht="20.100000000000001" customHeight="1" outlineLevel="1" x14ac:dyDescent="0.2">
      <c r="A47" s="26" t="s">
        <v>327</v>
      </c>
      <c r="B47" s="30">
        <v>431</v>
      </c>
      <c r="C47" s="30" t="str">
        <f t="shared" si="5"/>
        <v>3</v>
      </c>
      <c r="D47" s="30" t="str">
        <f t="shared" si="6"/>
        <v>32</v>
      </c>
      <c r="E47" s="26" t="str">
        <f t="shared" si="4"/>
        <v>323</v>
      </c>
      <c r="F47" s="26" t="s">
        <v>87</v>
      </c>
      <c r="G47" s="26" t="s">
        <v>89</v>
      </c>
      <c r="H47" s="27"/>
      <c r="I47" s="27">
        <v>86000</v>
      </c>
      <c r="J47" s="27">
        <v>63902.17</v>
      </c>
    </row>
    <row r="48" spans="1:16" ht="20.100000000000001" customHeight="1" outlineLevel="1" x14ac:dyDescent="0.2">
      <c r="A48" s="26" t="s">
        <v>327</v>
      </c>
      <c r="B48" s="30">
        <v>431</v>
      </c>
      <c r="C48" s="30" t="str">
        <f t="shared" si="5"/>
        <v>3</v>
      </c>
      <c r="D48" s="30" t="str">
        <f t="shared" si="6"/>
        <v>32</v>
      </c>
      <c r="E48" s="26" t="str">
        <f t="shared" si="4"/>
        <v>323</v>
      </c>
      <c r="F48" s="26" t="s">
        <v>38</v>
      </c>
      <c r="G48" s="26" t="s">
        <v>40</v>
      </c>
      <c r="H48" s="27"/>
      <c r="I48" s="27">
        <v>167000</v>
      </c>
      <c r="J48" s="27">
        <v>113611.79</v>
      </c>
    </row>
    <row r="49" spans="1:13" ht="20.100000000000001" customHeight="1" outlineLevel="1" x14ac:dyDescent="0.2">
      <c r="A49" s="26" t="s">
        <v>327</v>
      </c>
      <c r="B49" s="30">
        <v>431</v>
      </c>
      <c r="C49" s="30" t="str">
        <f t="shared" si="5"/>
        <v>3</v>
      </c>
      <c r="D49" s="30" t="str">
        <f t="shared" si="6"/>
        <v>32</v>
      </c>
      <c r="E49" s="26" t="str">
        <f t="shared" si="4"/>
        <v>323</v>
      </c>
      <c r="F49" s="26" t="s">
        <v>91</v>
      </c>
      <c r="G49" s="26" t="s">
        <v>93</v>
      </c>
      <c r="H49" s="27"/>
      <c r="I49" s="27">
        <v>10000</v>
      </c>
      <c r="J49" s="27">
        <v>778.41</v>
      </c>
    </row>
    <row r="50" spans="1:13" ht="20.100000000000001" customHeight="1" outlineLevel="1" x14ac:dyDescent="0.2">
      <c r="A50" s="26" t="s">
        <v>327</v>
      </c>
      <c r="B50" s="30">
        <v>431</v>
      </c>
      <c r="C50" s="30" t="str">
        <f t="shared" si="5"/>
        <v>3</v>
      </c>
      <c r="D50" s="30" t="str">
        <f t="shared" si="6"/>
        <v>32</v>
      </c>
      <c r="E50" s="26" t="str">
        <f t="shared" si="4"/>
        <v>323</v>
      </c>
      <c r="F50" s="26" t="s">
        <v>94</v>
      </c>
      <c r="G50" s="26" t="s">
        <v>96</v>
      </c>
      <c r="H50" s="27"/>
      <c r="I50" s="27">
        <v>20000</v>
      </c>
      <c r="J50" s="27">
        <v>21849.63</v>
      </c>
    </row>
    <row r="51" spans="1:13" ht="20.100000000000001" customHeight="1" outlineLevel="1" x14ac:dyDescent="0.2">
      <c r="A51" s="26" t="s">
        <v>327</v>
      </c>
      <c r="B51" s="30">
        <v>431</v>
      </c>
      <c r="C51" s="30" t="str">
        <f t="shared" si="5"/>
        <v>3</v>
      </c>
      <c r="D51" s="30" t="str">
        <f t="shared" si="6"/>
        <v>32</v>
      </c>
      <c r="E51" s="26" t="str">
        <f t="shared" si="4"/>
        <v>323</v>
      </c>
      <c r="F51" s="26" t="s">
        <v>97</v>
      </c>
      <c r="G51" s="26" t="s">
        <v>99</v>
      </c>
      <c r="H51" s="27"/>
      <c r="I51" s="27">
        <v>125000</v>
      </c>
      <c r="J51" s="27">
        <v>94981.1</v>
      </c>
    </row>
    <row r="52" spans="1:13" ht="20.100000000000001" customHeight="1" outlineLevel="1" x14ac:dyDescent="0.2">
      <c r="A52" s="26" t="s">
        <v>327</v>
      </c>
      <c r="B52" s="30">
        <v>431</v>
      </c>
      <c r="C52" s="30" t="str">
        <f t="shared" si="5"/>
        <v>3</v>
      </c>
      <c r="D52" s="30" t="str">
        <f t="shared" si="6"/>
        <v>32</v>
      </c>
      <c r="E52" s="26" t="str">
        <f t="shared" si="4"/>
        <v>323</v>
      </c>
      <c r="F52" s="26" t="s">
        <v>100</v>
      </c>
      <c r="G52" s="26" t="s">
        <v>102</v>
      </c>
      <c r="H52" s="27"/>
      <c r="I52" s="27">
        <v>2000</v>
      </c>
      <c r="J52" s="27">
        <v>468.52</v>
      </c>
    </row>
    <row r="53" spans="1:13" ht="20.100000000000001" customHeight="1" outlineLevel="1" x14ac:dyDescent="0.2">
      <c r="A53" s="26" t="s">
        <v>327</v>
      </c>
      <c r="B53" s="30">
        <v>431</v>
      </c>
      <c r="C53" s="30" t="str">
        <f t="shared" si="5"/>
        <v>3</v>
      </c>
      <c r="D53" s="30" t="str">
        <f t="shared" si="6"/>
        <v>32</v>
      </c>
      <c r="E53" s="26" t="str">
        <f t="shared" si="4"/>
        <v>323</v>
      </c>
      <c r="F53" s="26" t="s">
        <v>41</v>
      </c>
      <c r="G53" s="26" t="s">
        <v>43</v>
      </c>
      <c r="H53" s="27"/>
      <c r="I53" s="27">
        <v>48600</v>
      </c>
      <c r="J53" s="27">
        <v>40277.14</v>
      </c>
    </row>
    <row r="54" spans="1:13" ht="20.100000000000001" customHeight="1" outlineLevel="1" x14ac:dyDescent="0.2">
      <c r="A54" s="26" t="s">
        <v>327</v>
      </c>
      <c r="B54" s="30">
        <v>431</v>
      </c>
      <c r="C54" s="30" t="str">
        <f t="shared" si="5"/>
        <v>3</v>
      </c>
      <c r="D54" s="30" t="str">
        <f t="shared" si="6"/>
        <v>32</v>
      </c>
      <c r="E54" s="26" t="str">
        <f t="shared" si="4"/>
        <v>323</v>
      </c>
      <c r="F54" s="26" t="s">
        <v>104</v>
      </c>
      <c r="G54" s="26" t="s">
        <v>106</v>
      </c>
      <c r="H54" s="27"/>
      <c r="I54" s="27">
        <v>125000</v>
      </c>
      <c r="J54" s="27">
        <v>117616.62</v>
      </c>
    </row>
    <row r="55" spans="1:13" ht="20.100000000000001" customHeight="1" outlineLevel="1" x14ac:dyDescent="0.2">
      <c r="A55" s="26" t="s">
        <v>327</v>
      </c>
      <c r="B55" s="30">
        <v>431</v>
      </c>
      <c r="C55" s="30" t="str">
        <f t="shared" si="5"/>
        <v>3</v>
      </c>
      <c r="D55" s="30" t="str">
        <f t="shared" si="6"/>
        <v>32</v>
      </c>
      <c r="E55" s="26" t="str">
        <f t="shared" si="4"/>
        <v>323</v>
      </c>
      <c r="F55" s="26" t="s">
        <v>126</v>
      </c>
      <c r="G55" s="26" t="s">
        <v>128</v>
      </c>
      <c r="H55" s="27"/>
      <c r="I55" s="27">
        <v>126200</v>
      </c>
      <c r="J55" s="27">
        <v>152906.18</v>
      </c>
    </row>
    <row r="56" spans="1:13" ht="20.100000000000001" customHeight="1" outlineLevel="1" x14ac:dyDescent="0.2">
      <c r="A56" s="26" t="s">
        <v>327</v>
      </c>
      <c r="B56" s="30">
        <v>431</v>
      </c>
      <c r="C56" s="30" t="str">
        <f t="shared" si="5"/>
        <v>3</v>
      </c>
      <c r="D56" s="30" t="str">
        <f t="shared" si="6"/>
        <v>32</v>
      </c>
      <c r="E56" s="26" t="str">
        <f t="shared" si="4"/>
        <v>324</v>
      </c>
      <c r="F56" s="26" t="s">
        <v>150</v>
      </c>
      <c r="G56" s="26" t="s">
        <v>152</v>
      </c>
      <c r="H56" s="27"/>
      <c r="I56" s="27">
        <v>500</v>
      </c>
      <c r="J56" s="27"/>
    </row>
    <row r="57" spans="1:13" ht="20.100000000000001" customHeight="1" outlineLevel="1" x14ac:dyDescent="0.2">
      <c r="A57" s="26" t="s">
        <v>327</v>
      </c>
      <c r="B57" s="30">
        <v>431</v>
      </c>
      <c r="C57" s="30" t="str">
        <f t="shared" si="5"/>
        <v>3</v>
      </c>
      <c r="D57" s="30" t="str">
        <f t="shared" si="6"/>
        <v>32</v>
      </c>
      <c r="E57" s="26" t="str">
        <f t="shared" si="4"/>
        <v>329</v>
      </c>
      <c r="F57" s="26" t="s">
        <v>110</v>
      </c>
      <c r="G57" s="26" t="s">
        <v>112</v>
      </c>
      <c r="H57" s="27"/>
      <c r="I57" s="27">
        <v>4000</v>
      </c>
      <c r="J57" s="27">
        <v>3858.64</v>
      </c>
    </row>
    <row r="58" spans="1:13" ht="20.100000000000001" customHeight="1" outlineLevel="1" x14ac:dyDescent="0.2">
      <c r="A58" s="26" t="s">
        <v>327</v>
      </c>
      <c r="B58" s="30">
        <v>431</v>
      </c>
      <c r="C58" s="30" t="str">
        <f t="shared" si="5"/>
        <v>3</v>
      </c>
      <c r="D58" s="30" t="str">
        <f t="shared" si="6"/>
        <v>32</v>
      </c>
      <c r="E58" s="26" t="str">
        <f t="shared" si="4"/>
        <v>329</v>
      </c>
      <c r="F58" s="26" t="s">
        <v>154</v>
      </c>
      <c r="G58" s="26" t="s">
        <v>156</v>
      </c>
      <c r="H58" s="27"/>
      <c r="I58" s="27">
        <v>9000</v>
      </c>
      <c r="J58" s="27">
        <v>20831.82</v>
      </c>
    </row>
    <row r="59" spans="1:13" ht="20.100000000000001" customHeight="1" outlineLevel="1" x14ac:dyDescent="0.2">
      <c r="A59" s="26" t="s">
        <v>327</v>
      </c>
      <c r="B59" s="30">
        <v>431</v>
      </c>
      <c r="C59" s="30" t="str">
        <f t="shared" si="5"/>
        <v>3</v>
      </c>
      <c r="D59" s="30" t="str">
        <f t="shared" si="6"/>
        <v>32</v>
      </c>
      <c r="E59" s="26" t="str">
        <f t="shared" si="4"/>
        <v>329</v>
      </c>
      <c r="F59" s="26" t="s">
        <v>113</v>
      </c>
      <c r="G59" s="26" t="s">
        <v>115</v>
      </c>
      <c r="H59" s="27"/>
      <c r="I59" s="27">
        <v>3300</v>
      </c>
      <c r="J59" s="27">
        <v>2984.94</v>
      </c>
    </row>
    <row r="60" spans="1:13" ht="20.100000000000001" customHeight="1" outlineLevel="1" x14ac:dyDescent="0.2">
      <c r="A60" s="26" t="s">
        <v>327</v>
      </c>
      <c r="B60" s="30">
        <v>431</v>
      </c>
      <c r="C60" s="30" t="str">
        <f t="shared" si="5"/>
        <v>3</v>
      </c>
      <c r="D60" s="30" t="str">
        <f t="shared" si="6"/>
        <v>32</v>
      </c>
      <c r="E60" s="26" t="str">
        <f t="shared" si="4"/>
        <v>329</v>
      </c>
      <c r="F60" s="26" t="s">
        <v>116</v>
      </c>
      <c r="G60" s="26" t="s">
        <v>118</v>
      </c>
      <c r="H60" s="27"/>
      <c r="I60" s="27">
        <v>22500</v>
      </c>
      <c r="J60" s="27">
        <v>5838.5</v>
      </c>
    </row>
    <row r="61" spans="1:13" ht="20.100000000000001" customHeight="1" outlineLevel="1" x14ac:dyDescent="0.2">
      <c r="A61" s="26" t="s">
        <v>327</v>
      </c>
      <c r="B61" s="30">
        <v>431</v>
      </c>
      <c r="C61" s="30" t="str">
        <f t="shared" si="5"/>
        <v>3</v>
      </c>
      <c r="D61" s="30" t="str">
        <f t="shared" si="6"/>
        <v>32</v>
      </c>
      <c r="E61" s="26" t="str">
        <f t="shared" si="4"/>
        <v>329</v>
      </c>
      <c r="F61" s="26" t="s">
        <v>159</v>
      </c>
      <c r="G61" s="26" t="s">
        <v>161</v>
      </c>
      <c r="H61" s="27"/>
      <c r="I61" s="27">
        <v>4000</v>
      </c>
      <c r="J61" s="27">
        <v>4723.58</v>
      </c>
    </row>
    <row r="62" spans="1:13" ht="20.100000000000001" customHeight="1" outlineLevel="1" x14ac:dyDescent="0.2">
      <c r="A62" s="26" t="s">
        <v>327</v>
      </c>
      <c r="B62" s="30">
        <v>431</v>
      </c>
      <c r="C62" s="30" t="str">
        <f t="shared" si="5"/>
        <v>3</v>
      </c>
      <c r="D62" s="30" t="str">
        <f t="shared" si="6"/>
        <v>34</v>
      </c>
      <c r="E62" s="26" t="str">
        <f t="shared" si="4"/>
        <v>343</v>
      </c>
      <c r="F62" s="26" t="s">
        <v>119</v>
      </c>
      <c r="G62" s="26" t="s">
        <v>121</v>
      </c>
      <c r="H62" s="27"/>
      <c r="I62" s="27">
        <v>13600</v>
      </c>
      <c r="J62" s="27">
        <v>19637.03</v>
      </c>
    </row>
    <row r="63" spans="1:13" ht="20.100000000000001" customHeight="1" outlineLevel="1" x14ac:dyDescent="0.2">
      <c r="A63" s="26" t="s">
        <v>327</v>
      </c>
      <c r="B63" s="30">
        <v>431</v>
      </c>
      <c r="C63" s="30" t="str">
        <f t="shared" si="5"/>
        <v>3</v>
      </c>
      <c r="D63" s="30" t="str">
        <f t="shared" si="6"/>
        <v>34</v>
      </c>
      <c r="E63" s="26" t="str">
        <f t="shared" si="4"/>
        <v>343</v>
      </c>
      <c r="F63" s="26" t="s">
        <v>163</v>
      </c>
      <c r="G63" s="26" t="s">
        <v>165</v>
      </c>
      <c r="H63" s="27"/>
      <c r="I63" s="27">
        <v>600</v>
      </c>
      <c r="J63" s="27">
        <v>637.32000000000005</v>
      </c>
      <c r="K63" s="38" t="s">
        <v>347</v>
      </c>
      <c r="L63" s="38" t="s">
        <v>350</v>
      </c>
      <c r="M63" s="38" t="s">
        <v>349</v>
      </c>
    </row>
    <row r="64" spans="1:13" ht="24.95" customHeight="1" x14ac:dyDescent="0.2">
      <c r="F64" s="230" t="s">
        <v>26</v>
      </c>
      <c r="G64" s="230"/>
      <c r="H64" s="79">
        <f t="shared" ref="H64:M64" si="7">SUMIFS(H65:H232,$A65:$A232,"A212401",$B65:$B232,"521")</f>
        <v>0</v>
      </c>
      <c r="I64" s="79">
        <f t="shared" si="7"/>
        <v>690000</v>
      </c>
      <c r="J64" s="79">
        <f t="shared" si="7"/>
        <v>835188.62000000011</v>
      </c>
      <c r="K64" s="25">
        <f t="shared" si="7"/>
        <v>178397.38999999998</v>
      </c>
      <c r="L64" s="25">
        <f t="shared" si="7"/>
        <v>643151.68000000005</v>
      </c>
      <c r="M64" s="25">
        <f t="shared" si="7"/>
        <v>13639.55</v>
      </c>
    </row>
    <row r="65" spans="1:13" ht="20.100000000000001" customHeight="1" outlineLevel="1" x14ac:dyDescent="0.2">
      <c r="A65" s="26" t="s">
        <v>327</v>
      </c>
      <c r="B65" s="30">
        <v>521</v>
      </c>
      <c r="C65" s="30" t="str">
        <f t="shared" ref="C65:C92" si="8">LEFT(F65,1)</f>
        <v>3</v>
      </c>
      <c r="D65" s="30" t="str">
        <f t="shared" ref="D65:D92" si="9">LEFT(F65,2)</f>
        <v>31</v>
      </c>
      <c r="E65" s="26" t="str">
        <f t="shared" si="4"/>
        <v>311</v>
      </c>
      <c r="F65" s="26" t="s">
        <v>57</v>
      </c>
      <c r="G65" s="26" t="s">
        <v>59</v>
      </c>
      <c r="H65" s="27"/>
      <c r="I65" s="27">
        <v>504200</v>
      </c>
      <c r="J65" s="27">
        <f t="shared" ref="J65:J92" si="10">K65+L65+M65</f>
        <v>608866.72</v>
      </c>
      <c r="K65" s="27">
        <v>145951.35</v>
      </c>
      <c r="L65" s="27">
        <v>462915.37</v>
      </c>
      <c r="M65" s="27"/>
    </row>
    <row r="66" spans="1:13" ht="20.100000000000001" customHeight="1" outlineLevel="1" x14ac:dyDescent="0.2">
      <c r="A66" s="26" t="s">
        <v>327</v>
      </c>
      <c r="B66" s="30">
        <v>521</v>
      </c>
      <c r="C66" s="30" t="str">
        <f t="shared" si="8"/>
        <v>3</v>
      </c>
      <c r="D66" s="30" t="str">
        <f t="shared" si="9"/>
        <v>31</v>
      </c>
      <c r="E66" s="26" t="str">
        <f t="shared" si="4"/>
        <v>312</v>
      </c>
      <c r="F66" s="26" t="s">
        <v>60</v>
      </c>
      <c r="G66" s="26" t="s">
        <v>62</v>
      </c>
      <c r="H66" s="27"/>
      <c r="I66" s="27">
        <v>20000</v>
      </c>
      <c r="J66" s="27">
        <f t="shared" si="10"/>
        <v>53176.68</v>
      </c>
      <c r="K66" s="27">
        <v>3529.36</v>
      </c>
      <c r="L66" s="27">
        <v>49647.32</v>
      </c>
      <c r="M66" s="27"/>
    </row>
    <row r="67" spans="1:13" ht="20.100000000000001" customHeight="1" outlineLevel="1" x14ac:dyDescent="0.2">
      <c r="A67" s="26" t="s">
        <v>327</v>
      </c>
      <c r="B67" s="30">
        <v>521</v>
      </c>
      <c r="C67" s="30" t="str">
        <f t="shared" si="8"/>
        <v>3</v>
      </c>
      <c r="D67" s="30" t="str">
        <f t="shared" si="9"/>
        <v>31</v>
      </c>
      <c r="E67" s="26" t="str">
        <f t="shared" si="4"/>
        <v>313</v>
      </c>
      <c r="F67" s="26" t="s">
        <v>63</v>
      </c>
      <c r="G67" s="26" t="s">
        <v>65</v>
      </c>
      <c r="H67" s="27"/>
      <c r="I67" s="27">
        <v>80300</v>
      </c>
      <c r="J67" s="27">
        <f t="shared" si="10"/>
        <v>99000.89</v>
      </c>
      <c r="K67" s="27">
        <v>19844.830000000002</v>
      </c>
      <c r="L67" s="27">
        <v>79156.06</v>
      </c>
      <c r="M67" s="27"/>
    </row>
    <row r="68" spans="1:13" ht="20.100000000000001" customHeight="1" outlineLevel="1" x14ac:dyDescent="0.2">
      <c r="A68" s="26" t="s">
        <v>327</v>
      </c>
      <c r="B68" s="30">
        <v>521</v>
      </c>
      <c r="C68" s="30" t="str">
        <f t="shared" si="8"/>
        <v>3</v>
      </c>
      <c r="D68" s="30" t="str">
        <f t="shared" si="9"/>
        <v>32</v>
      </c>
      <c r="E68" s="26" t="str">
        <f t="shared" si="4"/>
        <v>321</v>
      </c>
      <c r="F68" s="26" t="s">
        <v>130</v>
      </c>
      <c r="G68" s="26" t="s">
        <v>132</v>
      </c>
      <c r="H68" s="27"/>
      <c r="I68" s="27">
        <v>1600</v>
      </c>
      <c r="J68" s="27">
        <f t="shared" si="10"/>
        <v>2373.48</v>
      </c>
      <c r="K68" s="27">
        <v>2373.48</v>
      </c>
      <c r="L68" s="27"/>
      <c r="M68" s="27"/>
    </row>
    <row r="69" spans="1:13" ht="20.100000000000001" customHeight="1" outlineLevel="1" x14ac:dyDescent="0.2">
      <c r="A69" s="26" t="s">
        <v>327</v>
      </c>
      <c r="B69" s="30">
        <v>521</v>
      </c>
      <c r="C69" s="30" t="str">
        <f t="shared" si="8"/>
        <v>3</v>
      </c>
      <c r="D69" s="30" t="str">
        <f t="shared" si="9"/>
        <v>32</v>
      </c>
      <c r="E69" s="26" t="str">
        <f t="shared" si="4"/>
        <v>321</v>
      </c>
      <c r="F69" s="26" t="s">
        <v>66</v>
      </c>
      <c r="G69" s="26" t="s">
        <v>68</v>
      </c>
      <c r="H69" s="27"/>
      <c r="I69" s="27">
        <v>12600</v>
      </c>
      <c r="J69" s="27">
        <f t="shared" si="10"/>
        <v>12083.18</v>
      </c>
      <c r="K69" s="27">
        <v>2463.36</v>
      </c>
      <c r="L69" s="27">
        <v>9619.82</v>
      </c>
      <c r="M69" s="27"/>
    </row>
    <row r="70" spans="1:13" ht="20.100000000000001" customHeight="1" outlineLevel="1" x14ac:dyDescent="0.2">
      <c r="A70" s="26" t="s">
        <v>327</v>
      </c>
      <c r="B70" s="30">
        <v>521</v>
      </c>
      <c r="C70" s="30" t="str">
        <f t="shared" si="8"/>
        <v>3</v>
      </c>
      <c r="D70" s="30" t="str">
        <f t="shared" si="9"/>
        <v>32</v>
      </c>
      <c r="E70" s="26" t="str">
        <f t="shared" si="4"/>
        <v>321</v>
      </c>
      <c r="F70" s="26" t="s">
        <v>69</v>
      </c>
      <c r="G70" s="26" t="s">
        <v>71</v>
      </c>
      <c r="H70" s="27"/>
      <c r="I70" s="27">
        <v>600</v>
      </c>
      <c r="J70" s="27">
        <f t="shared" si="10"/>
        <v>753.75</v>
      </c>
      <c r="K70" s="27">
        <v>753.75</v>
      </c>
      <c r="L70" s="27"/>
      <c r="M70" s="27"/>
    </row>
    <row r="71" spans="1:13" ht="20.100000000000001" customHeight="1" outlineLevel="1" x14ac:dyDescent="0.2">
      <c r="A71" s="26" t="s">
        <v>327</v>
      </c>
      <c r="B71" s="30">
        <v>521</v>
      </c>
      <c r="C71" s="30" t="str">
        <f t="shared" si="8"/>
        <v>3</v>
      </c>
      <c r="D71" s="30" t="str">
        <f t="shared" si="9"/>
        <v>32</v>
      </c>
      <c r="E71" s="26" t="str">
        <f t="shared" si="4"/>
        <v>321</v>
      </c>
      <c r="F71" s="26" t="s">
        <v>172</v>
      </c>
      <c r="G71" s="26" t="s">
        <v>174</v>
      </c>
      <c r="H71" s="27"/>
      <c r="I71" s="27">
        <v>1000</v>
      </c>
      <c r="J71" s="27">
        <f t="shared" si="10"/>
        <v>829.5</v>
      </c>
      <c r="K71" s="27">
        <v>829.5</v>
      </c>
      <c r="L71" s="27"/>
      <c r="M71" s="27"/>
    </row>
    <row r="72" spans="1:13" ht="20.100000000000001" customHeight="1" outlineLevel="1" x14ac:dyDescent="0.2">
      <c r="A72" s="26" t="s">
        <v>327</v>
      </c>
      <c r="B72" s="30">
        <v>521</v>
      </c>
      <c r="C72" s="30" t="str">
        <f t="shared" si="8"/>
        <v>3</v>
      </c>
      <c r="D72" s="30" t="str">
        <f t="shared" si="9"/>
        <v>32</v>
      </c>
      <c r="E72" s="26" t="str">
        <f t="shared" si="4"/>
        <v>322</v>
      </c>
      <c r="F72" s="26" t="s">
        <v>72</v>
      </c>
      <c r="G72" s="26" t="s">
        <v>74</v>
      </c>
      <c r="H72" s="27"/>
      <c r="I72" s="27">
        <v>1900</v>
      </c>
      <c r="J72" s="27">
        <f t="shared" si="10"/>
        <v>2334.77</v>
      </c>
      <c r="K72" s="27">
        <v>578.17999999999995</v>
      </c>
      <c r="L72" s="27">
        <v>1756.59</v>
      </c>
      <c r="M72" s="27"/>
    </row>
    <row r="73" spans="1:13" ht="20.100000000000001" customHeight="1" outlineLevel="1" x14ac:dyDescent="0.2">
      <c r="A73" s="26" t="s">
        <v>327</v>
      </c>
      <c r="B73" s="30">
        <v>521</v>
      </c>
      <c r="C73" s="30" t="str">
        <f t="shared" si="8"/>
        <v>3</v>
      </c>
      <c r="D73" s="30" t="str">
        <f t="shared" si="9"/>
        <v>32</v>
      </c>
      <c r="E73" s="26" t="str">
        <f t="shared" si="4"/>
        <v>322</v>
      </c>
      <c r="F73" s="26" t="s">
        <v>75</v>
      </c>
      <c r="G73" s="26" t="s">
        <v>77</v>
      </c>
      <c r="H73" s="27"/>
      <c r="I73" s="27">
        <v>1300</v>
      </c>
      <c r="J73" s="27">
        <f t="shared" si="10"/>
        <v>1177.73</v>
      </c>
      <c r="K73" s="27">
        <v>11.93</v>
      </c>
      <c r="L73" s="27">
        <v>1165.8</v>
      </c>
      <c r="M73" s="27"/>
    </row>
    <row r="74" spans="1:13" ht="20.100000000000001" customHeight="1" outlineLevel="1" x14ac:dyDescent="0.2">
      <c r="A74" s="26" t="s">
        <v>327</v>
      </c>
      <c r="B74" s="30">
        <v>521</v>
      </c>
      <c r="C74" s="30" t="str">
        <f t="shared" si="8"/>
        <v>3</v>
      </c>
      <c r="D74" s="30" t="str">
        <f t="shared" si="9"/>
        <v>32</v>
      </c>
      <c r="E74" s="26" t="str">
        <f t="shared" si="4"/>
        <v>322</v>
      </c>
      <c r="F74" s="26" t="s">
        <v>78</v>
      </c>
      <c r="G74" s="26" t="s">
        <v>80</v>
      </c>
      <c r="H74" s="27"/>
      <c r="I74" s="27">
        <v>12000</v>
      </c>
      <c r="J74" s="27">
        <f t="shared" si="10"/>
        <v>11589.33</v>
      </c>
      <c r="K74" s="27"/>
      <c r="L74" s="27">
        <v>11589.33</v>
      </c>
      <c r="M74" s="27"/>
    </row>
    <row r="75" spans="1:13" ht="20.100000000000001" customHeight="1" outlineLevel="1" x14ac:dyDescent="0.2">
      <c r="A75" s="26" t="s">
        <v>327</v>
      </c>
      <c r="B75" s="30">
        <v>521</v>
      </c>
      <c r="C75" s="30" t="str">
        <f t="shared" si="8"/>
        <v>3</v>
      </c>
      <c r="D75" s="30" t="str">
        <f t="shared" si="9"/>
        <v>32</v>
      </c>
      <c r="E75" s="26" t="str">
        <f t="shared" si="4"/>
        <v>322</v>
      </c>
      <c r="F75" s="26" t="s">
        <v>81</v>
      </c>
      <c r="G75" s="26" t="s">
        <v>83</v>
      </c>
      <c r="H75" s="27"/>
      <c r="I75" s="27">
        <v>100</v>
      </c>
      <c r="J75" s="27">
        <f t="shared" si="10"/>
        <v>1121.22</v>
      </c>
      <c r="K75" s="27"/>
      <c r="L75" s="27">
        <v>1053.1400000000001</v>
      </c>
      <c r="M75" s="27">
        <v>68.08</v>
      </c>
    </row>
    <row r="76" spans="1:13" ht="20.100000000000001" customHeight="1" outlineLevel="1" x14ac:dyDescent="0.2">
      <c r="A76" s="26" t="s">
        <v>327</v>
      </c>
      <c r="B76" s="30">
        <v>521</v>
      </c>
      <c r="C76" s="30" t="str">
        <f t="shared" si="8"/>
        <v>3</v>
      </c>
      <c r="D76" s="30" t="str">
        <f t="shared" si="9"/>
        <v>32</v>
      </c>
      <c r="E76" s="26" t="str">
        <f t="shared" si="4"/>
        <v>322</v>
      </c>
      <c r="F76" s="26" t="s">
        <v>84</v>
      </c>
      <c r="G76" s="26" t="s">
        <v>86</v>
      </c>
      <c r="H76" s="27"/>
      <c r="I76" s="27">
        <v>1300</v>
      </c>
      <c r="J76" s="27">
        <f t="shared" si="10"/>
        <v>697.75</v>
      </c>
      <c r="K76" s="27"/>
      <c r="L76" s="27">
        <v>697.75</v>
      </c>
      <c r="M76" s="27"/>
    </row>
    <row r="77" spans="1:13" ht="20.100000000000001" customHeight="1" outlineLevel="1" x14ac:dyDescent="0.2">
      <c r="A77" s="26" t="s">
        <v>327</v>
      </c>
      <c r="B77" s="30">
        <v>521</v>
      </c>
      <c r="C77" s="30" t="str">
        <f t="shared" si="8"/>
        <v>3</v>
      </c>
      <c r="D77" s="30" t="str">
        <f t="shared" si="9"/>
        <v>32</v>
      </c>
      <c r="E77" s="26" t="str">
        <f t="shared" si="4"/>
        <v>322</v>
      </c>
      <c r="F77" s="26" t="s">
        <v>138</v>
      </c>
      <c r="G77" s="26" t="s">
        <v>140</v>
      </c>
      <c r="H77" s="27"/>
      <c r="I77" s="27">
        <v>200</v>
      </c>
      <c r="J77" s="27">
        <f t="shared" si="10"/>
        <v>0</v>
      </c>
      <c r="K77" s="27"/>
      <c r="L77" s="27"/>
      <c r="M77" s="27"/>
    </row>
    <row r="78" spans="1:13" ht="20.100000000000001" customHeight="1" outlineLevel="1" x14ac:dyDescent="0.2">
      <c r="A78" s="26" t="s">
        <v>327</v>
      </c>
      <c r="B78" s="30">
        <v>521</v>
      </c>
      <c r="C78" s="30" t="str">
        <f t="shared" si="8"/>
        <v>3</v>
      </c>
      <c r="D78" s="30" t="str">
        <f t="shared" si="9"/>
        <v>32</v>
      </c>
      <c r="E78" s="26" t="str">
        <f t="shared" si="4"/>
        <v>323</v>
      </c>
      <c r="F78" s="26" t="s">
        <v>87</v>
      </c>
      <c r="G78" s="26" t="s">
        <v>89</v>
      </c>
      <c r="H78" s="27"/>
      <c r="I78" s="27">
        <v>4000</v>
      </c>
      <c r="J78" s="27">
        <f t="shared" si="10"/>
        <v>2336.14</v>
      </c>
      <c r="K78" s="27">
        <v>61.67</v>
      </c>
      <c r="L78" s="27">
        <v>2274.4699999999998</v>
      </c>
      <c r="M78" s="27"/>
    </row>
    <row r="79" spans="1:13" ht="20.100000000000001" customHeight="1" outlineLevel="1" x14ac:dyDescent="0.2">
      <c r="A79" s="26" t="s">
        <v>327</v>
      </c>
      <c r="B79" s="30">
        <v>521</v>
      </c>
      <c r="C79" s="30" t="str">
        <f t="shared" si="8"/>
        <v>3</v>
      </c>
      <c r="D79" s="30" t="str">
        <f t="shared" si="9"/>
        <v>32</v>
      </c>
      <c r="E79" s="26" t="str">
        <f t="shared" si="4"/>
        <v>323</v>
      </c>
      <c r="F79" s="26" t="s">
        <v>38</v>
      </c>
      <c r="G79" s="26" t="s">
        <v>40</v>
      </c>
      <c r="H79" s="27"/>
      <c r="I79" s="27">
        <v>22300</v>
      </c>
      <c r="J79" s="27">
        <f t="shared" si="10"/>
        <v>16693.419999999998</v>
      </c>
      <c r="K79" s="27"/>
      <c r="L79" s="27">
        <v>7921.78</v>
      </c>
      <c r="M79" s="27">
        <v>8771.64</v>
      </c>
    </row>
    <row r="80" spans="1:13" ht="20.100000000000001" customHeight="1" outlineLevel="1" x14ac:dyDescent="0.2">
      <c r="A80" s="26" t="s">
        <v>327</v>
      </c>
      <c r="B80" s="30">
        <v>521</v>
      </c>
      <c r="C80" s="30" t="str">
        <f t="shared" si="8"/>
        <v>3</v>
      </c>
      <c r="D80" s="30" t="str">
        <f t="shared" si="9"/>
        <v>32</v>
      </c>
      <c r="E80" s="26" t="str">
        <f t="shared" si="4"/>
        <v>323</v>
      </c>
      <c r="F80" s="26" t="s">
        <v>94</v>
      </c>
      <c r="G80" s="26" t="s">
        <v>96</v>
      </c>
      <c r="H80" s="27"/>
      <c r="I80" s="27">
        <v>8700</v>
      </c>
      <c r="J80" s="27">
        <f t="shared" si="10"/>
        <v>9361.1200000000008</v>
      </c>
      <c r="K80" s="27"/>
      <c r="L80" s="27">
        <v>9361.1200000000008</v>
      </c>
      <c r="M80" s="27"/>
    </row>
    <row r="81" spans="1:13" ht="20.100000000000001" customHeight="1" outlineLevel="1" x14ac:dyDescent="0.2">
      <c r="A81" s="26" t="s">
        <v>327</v>
      </c>
      <c r="B81" s="30">
        <v>521</v>
      </c>
      <c r="C81" s="30" t="str">
        <f t="shared" si="8"/>
        <v>3</v>
      </c>
      <c r="D81" s="30" t="str">
        <f t="shared" si="9"/>
        <v>32</v>
      </c>
      <c r="E81" s="26" t="str">
        <f t="shared" si="4"/>
        <v>323</v>
      </c>
      <c r="F81" s="26" t="s">
        <v>97</v>
      </c>
      <c r="G81" s="26" t="s">
        <v>99</v>
      </c>
      <c r="H81" s="27"/>
      <c r="I81" s="27">
        <v>600</v>
      </c>
      <c r="J81" s="27">
        <f t="shared" si="10"/>
        <v>3651</v>
      </c>
      <c r="K81" s="27"/>
      <c r="L81" s="27"/>
      <c r="M81" s="27">
        <v>3651</v>
      </c>
    </row>
    <row r="82" spans="1:13" ht="20.100000000000001" customHeight="1" outlineLevel="1" x14ac:dyDescent="0.2">
      <c r="A82" s="26" t="s">
        <v>327</v>
      </c>
      <c r="B82" s="30">
        <v>521</v>
      </c>
      <c r="C82" s="30" t="str">
        <f t="shared" si="8"/>
        <v>3</v>
      </c>
      <c r="D82" s="30" t="str">
        <f t="shared" si="9"/>
        <v>32</v>
      </c>
      <c r="E82" s="26" t="str">
        <f t="shared" si="4"/>
        <v>323</v>
      </c>
      <c r="F82" s="26" t="s">
        <v>100</v>
      </c>
      <c r="G82" s="26" t="s">
        <v>102</v>
      </c>
      <c r="H82" s="27"/>
      <c r="I82" s="27">
        <v>700</v>
      </c>
      <c r="J82" s="27">
        <f t="shared" si="10"/>
        <v>0</v>
      </c>
      <c r="K82" s="27"/>
      <c r="L82" s="27"/>
      <c r="M82" s="27"/>
    </row>
    <row r="83" spans="1:13" ht="20.100000000000001" customHeight="1" outlineLevel="1" x14ac:dyDescent="0.2">
      <c r="A83" s="26" t="s">
        <v>327</v>
      </c>
      <c r="B83" s="30">
        <v>521</v>
      </c>
      <c r="C83" s="30" t="str">
        <f t="shared" si="8"/>
        <v>3</v>
      </c>
      <c r="D83" s="30" t="str">
        <f t="shared" si="9"/>
        <v>32</v>
      </c>
      <c r="E83" s="26" t="str">
        <f t="shared" si="4"/>
        <v>323</v>
      </c>
      <c r="F83" s="26" t="s">
        <v>41</v>
      </c>
      <c r="G83" s="26" t="s">
        <v>43</v>
      </c>
      <c r="H83" s="27"/>
      <c r="I83" s="27">
        <v>600</v>
      </c>
      <c r="J83" s="27">
        <f t="shared" si="10"/>
        <v>740</v>
      </c>
      <c r="K83" s="27">
        <v>740</v>
      </c>
      <c r="L83" s="27"/>
      <c r="M83" s="27"/>
    </row>
    <row r="84" spans="1:13" ht="20.100000000000001" customHeight="1" outlineLevel="1" x14ac:dyDescent="0.2">
      <c r="A84" s="26" t="s">
        <v>327</v>
      </c>
      <c r="B84" s="30">
        <v>521</v>
      </c>
      <c r="C84" s="30" t="str">
        <f t="shared" si="8"/>
        <v>3</v>
      </c>
      <c r="D84" s="30" t="str">
        <f t="shared" si="9"/>
        <v>32</v>
      </c>
      <c r="E84" s="26" t="str">
        <f t="shared" si="4"/>
        <v>323</v>
      </c>
      <c r="F84" s="26" t="s">
        <v>104</v>
      </c>
      <c r="G84" s="26" t="s">
        <v>106</v>
      </c>
      <c r="H84" s="27"/>
      <c r="I84" s="27">
        <v>5400</v>
      </c>
      <c r="J84" s="27">
        <f t="shared" si="10"/>
        <v>123.55</v>
      </c>
      <c r="K84" s="27"/>
      <c r="L84" s="27">
        <v>123.55</v>
      </c>
      <c r="M84" s="27"/>
    </row>
    <row r="85" spans="1:13" ht="20.100000000000001" customHeight="1" outlineLevel="1" x14ac:dyDescent="0.2">
      <c r="A85" s="26" t="s">
        <v>327</v>
      </c>
      <c r="B85" s="30">
        <v>521</v>
      </c>
      <c r="C85" s="30" t="str">
        <f t="shared" si="8"/>
        <v>3</v>
      </c>
      <c r="D85" s="30" t="str">
        <f t="shared" si="9"/>
        <v>32</v>
      </c>
      <c r="E85" s="26" t="str">
        <f t="shared" si="4"/>
        <v>323</v>
      </c>
      <c r="F85" s="26" t="s">
        <v>126</v>
      </c>
      <c r="G85" s="26" t="s">
        <v>128</v>
      </c>
      <c r="H85" s="27"/>
      <c r="I85" s="27">
        <v>2700</v>
      </c>
      <c r="J85" s="27">
        <f t="shared" si="10"/>
        <v>4915.34</v>
      </c>
      <c r="K85" s="27">
        <v>97.5</v>
      </c>
      <c r="L85" s="27">
        <v>3669.01</v>
      </c>
      <c r="M85" s="27">
        <v>1148.83</v>
      </c>
    </row>
    <row r="86" spans="1:13" ht="20.100000000000001" customHeight="1" outlineLevel="1" x14ac:dyDescent="0.2">
      <c r="A86" s="26" t="s">
        <v>327</v>
      </c>
      <c r="B86" s="30">
        <v>521</v>
      </c>
      <c r="C86" s="30" t="str">
        <f t="shared" si="8"/>
        <v>3</v>
      </c>
      <c r="D86" s="30" t="str">
        <f t="shared" si="9"/>
        <v>32</v>
      </c>
      <c r="E86" s="26" t="str">
        <f t="shared" si="4"/>
        <v>329</v>
      </c>
      <c r="F86" s="26" t="s">
        <v>110</v>
      </c>
      <c r="G86" s="26" t="s">
        <v>112</v>
      </c>
      <c r="H86" s="27"/>
      <c r="I86" s="27">
        <v>1600</v>
      </c>
      <c r="J86" s="27">
        <f t="shared" si="10"/>
        <v>1668.05</v>
      </c>
      <c r="K86" s="27"/>
      <c r="L86" s="27">
        <v>1668.05</v>
      </c>
      <c r="M86" s="27"/>
    </row>
    <row r="87" spans="1:13" ht="20.100000000000001" customHeight="1" outlineLevel="1" x14ac:dyDescent="0.2">
      <c r="A87" s="26" t="s">
        <v>327</v>
      </c>
      <c r="B87" s="30">
        <v>521</v>
      </c>
      <c r="C87" s="30" t="str">
        <f t="shared" si="8"/>
        <v>3</v>
      </c>
      <c r="D87" s="30" t="str">
        <f t="shared" si="9"/>
        <v>32</v>
      </c>
      <c r="E87" s="26" t="str">
        <f t="shared" si="4"/>
        <v>329</v>
      </c>
      <c r="F87" s="26" t="s">
        <v>154</v>
      </c>
      <c r="G87" s="26" t="s">
        <v>156</v>
      </c>
      <c r="H87" s="27"/>
      <c r="I87" s="27">
        <v>800</v>
      </c>
      <c r="J87" s="27">
        <f t="shared" si="10"/>
        <v>1319.6100000000001</v>
      </c>
      <c r="K87" s="27">
        <v>1162.48</v>
      </c>
      <c r="L87" s="27">
        <v>157.13</v>
      </c>
      <c r="M87" s="27"/>
    </row>
    <row r="88" spans="1:13" ht="20.100000000000001" customHeight="1" outlineLevel="1" x14ac:dyDescent="0.2">
      <c r="A88" s="26" t="s">
        <v>327</v>
      </c>
      <c r="B88" s="30">
        <v>521</v>
      </c>
      <c r="C88" s="30" t="str">
        <f t="shared" si="8"/>
        <v>3</v>
      </c>
      <c r="D88" s="30" t="str">
        <f t="shared" si="9"/>
        <v>32</v>
      </c>
      <c r="E88" s="26" t="str">
        <f t="shared" si="4"/>
        <v>329</v>
      </c>
      <c r="F88" s="26" t="s">
        <v>113</v>
      </c>
      <c r="G88" s="26" t="s">
        <v>115</v>
      </c>
      <c r="H88" s="27"/>
      <c r="I88" s="27">
        <v>0</v>
      </c>
      <c r="J88" s="27">
        <f t="shared" si="10"/>
        <v>0</v>
      </c>
      <c r="K88" s="27"/>
      <c r="L88" s="27"/>
      <c r="M88" s="27"/>
    </row>
    <row r="89" spans="1:13" ht="20.100000000000001" customHeight="1" outlineLevel="1" x14ac:dyDescent="0.2">
      <c r="A89" s="26" t="s">
        <v>327</v>
      </c>
      <c r="B89" s="30">
        <v>521</v>
      </c>
      <c r="C89" s="30" t="str">
        <f t="shared" si="8"/>
        <v>3</v>
      </c>
      <c r="D89" s="30" t="str">
        <f t="shared" si="9"/>
        <v>32</v>
      </c>
      <c r="E89" s="26" t="str">
        <f t="shared" si="4"/>
        <v>329</v>
      </c>
      <c r="F89" s="26" t="s">
        <v>116</v>
      </c>
      <c r="G89" s="26" t="s">
        <v>118</v>
      </c>
      <c r="H89" s="27"/>
      <c r="I89" s="27">
        <v>600</v>
      </c>
      <c r="J89" s="27">
        <f t="shared" si="10"/>
        <v>307.83999999999997</v>
      </c>
      <c r="K89" s="27"/>
      <c r="L89" s="27">
        <v>307.83999999999997</v>
      </c>
      <c r="M89" s="27"/>
    </row>
    <row r="90" spans="1:13" ht="20.100000000000001" customHeight="1" outlineLevel="1" x14ac:dyDescent="0.2">
      <c r="A90" s="26" t="s">
        <v>327</v>
      </c>
      <c r="B90" s="30">
        <v>521</v>
      </c>
      <c r="C90" s="30" t="str">
        <f t="shared" si="8"/>
        <v>3</v>
      </c>
      <c r="D90" s="30" t="str">
        <f t="shared" si="9"/>
        <v>32</v>
      </c>
      <c r="E90" s="26" t="str">
        <f t="shared" si="4"/>
        <v>329</v>
      </c>
      <c r="F90" s="26" t="s">
        <v>159</v>
      </c>
      <c r="G90" s="26" t="s">
        <v>161</v>
      </c>
      <c r="H90" s="27"/>
      <c r="I90" s="27">
        <v>2000</v>
      </c>
      <c r="J90" s="27">
        <f t="shared" si="10"/>
        <v>45</v>
      </c>
      <c r="K90" s="27"/>
      <c r="L90" s="27">
        <v>45</v>
      </c>
      <c r="M90" s="27"/>
    </row>
    <row r="91" spans="1:13" ht="20.100000000000001" customHeight="1" outlineLevel="1" x14ac:dyDescent="0.2">
      <c r="A91" s="26" t="s">
        <v>327</v>
      </c>
      <c r="B91" s="30">
        <v>521</v>
      </c>
      <c r="C91" s="30" t="str">
        <f t="shared" si="8"/>
        <v>3</v>
      </c>
      <c r="D91" s="30" t="str">
        <f t="shared" si="9"/>
        <v>34</v>
      </c>
      <c r="E91" s="26" t="str">
        <f t="shared" si="4"/>
        <v>343</v>
      </c>
      <c r="F91" s="26" t="s">
        <v>119</v>
      </c>
      <c r="G91" s="26" t="s">
        <v>121</v>
      </c>
      <c r="H91" s="27"/>
      <c r="I91" s="27">
        <v>2700</v>
      </c>
      <c r="J91" s="27">
        <f t="shared" si="10"/>
        <v>0</v>
      </c>
      <c r="K91" s="27"/>
      <c r="L91" s="27"/>
      <c r="M91" s="27"/>
    </row>
    <row r="92" spans="1:13" ht="20.100000000000001" customHeight="1" outlineLevel="1" x14ac:dyDescent="0.2">
      <c r="A92" s="26" t="s">
        <v>327</v>
      </c>
      <c r="B92" s="30">
        <v>521</v>
      </c>
      <c r="C92" s="30" t="str">
        <f t="shared" si="8"/>
        <v>3</v>
      </c>
      <c r="D92" s="30" t="str">
        <f t="shared" si="9"/>
        <v>34</v>
      </c>
      <c r="E92" s="26" t="str">
        <f t="shared" si="4"/>
        <v>343</v>
      </c>
      <c r="F92" s="26" t="s">
        <v>163</v>
      </c>
      <c r="G92" s="26" t="s">
        <v>165</v>
      </c>
      <c r="H92" s="27"/>
      <c r="I92" s="27">
        <v>200</v>
      </c>
      <c r="J92" s="27">
        <f t="shared" si="10"/>
        <v>22.55</v>
      </c>
      <c r="K92" s="27"/>
      <c r="L92" s="27">
        <v>22.55</v>
      </c>
      <c r="M92" s="27"/>
    </row>
    <row r="93" spans="1:13" ht="24.95" customHeight="1" x14ac:dyDescent="0.2">
      <c r="F93" s="230" t="s">
        <v>34</v>
      </c>
      <c r="G93" s="230"/>
      <c r="H93" s="79">
        <f>SUMIFS(H94:H261,$A94:$A261,"A212401",$B94:$B261,"541")</f>
        <v>0</v>
      </c>
      <c r="I93" s="79">
        <f>SUMIFS(I94:I261,$A94:$A261,"A212401",$B94:$B261,"541")</f>
        <v>1000</v>
      </c>
      <c r="J93" s="79">
        <f>SUMIFS(J94:J261,$A94:$A261,"A212401",$B94:$B261,"541")</f>
        <v>308.09000000000003</v>
      </c>
    </row>
    <row r="94" spans="1:13" ht="20.100000000000001" customHeight="1" outlineLevel="1" x14ac:dyDescent="0.2">
      <c r="A94" s="26" t="s">
        <v>327</v>
      </c>
      <c r="B94" s="30">
        <v>541</v>
      </c>
      <c r="C94" s="30" t="str">
        <f>LEFT(F94,1)</f>
        <v>3</v>
      </c>
      <c r="D94" s="30" t="str">
        <f>LEFT(F94,2)</f>
        <v>32</v>
      </c>
      <c r="E94" s="26" t="str">
        <f t="shared" si="4"/>
        <v>322</v>
      </c>
      <c r="F94" s="26" t="s">
        <v>72</v>
      </c>
      <c r="G94" s="26" t="s">
        <v>74</v>
      </c>
      <c r="H94" s="27"/>
      <c r="I94" s="27">
        <v>0</v>
      </c>
      <c r="J94" s="27"/>
    </row>
    <row r="95" spans="1:13" ht="20.100000000000001" customHeight="1" outlineLevel="1" x14ac:dyDescent="0.2">
      <c r="A95" s="26" t="s">
        <v>327</v>
      </c>
      <c r="B95" s="30">
        <v>541</v>
      </c>
      <c r="C95" s="30" t="str">
        <f>LEFT(F95,1)</f>
        <v>3</v>
      </c>
      <c r="D95" s="30" t="str">
        <f>LEFT(F95,2)</f>
        <v>32</v>
      </c>
      <c r="E95" s="26" t="str">
        <f t="shared" si="4"/>
        <v>322</v>
      </c>
      <c r="F95" s="26" t="s">
        <v>75</v>
      </c>
      <c r="G95" s="26" t="s">
        <v>77</v>
      </c>
      <c r="H95" s="27"/>
      <c r="I95" s="27">
        <v>100</v>
      </c>
      <c r="J95" s="27">
        <v>39.99</v>
      </c>
    </row>
    <row r="96" spans="1:13" ht="20.100000000000001" customHeight="1" outlineLevel="1" x14ac:dyDescent="0.2">
      <c r="A96" s="26" t="s">
        <v>327</v>
      </c>
      <c r="B96" s="30">
        <v>541</v>
      </c>
      <c r="C96" s="30" t="str">
        <f>LEFT(F96,1)</f>
        <v>3</v>
      </c>
      <c r="D96" s="30" t="str">
        <f>LEFT(F96,2)</f>
        <v>32</v>
      </c>
      <c r="E96" s="26" t="str">
        <f t="shared" si="4"/>
        <v>322</v>
      </c>
      <c r="F96" s="26" t="s">
        <v>84</v>
      </c>
      <c r="G96" s="26" t="s">
        <v>86</v>
      </c>
      <c r="H96" s="27"/>
      <c r="I96" s="27">
        <v>300</v>
      </c>
      <c r="J96" s="27">
        <v>268.10000000000002</v>
      </c>
    </row>
    <row r="97" spans="1:10" ht="20.100000000000001" customHeight="1" outlineLevel="1" x14ac:dyDescent="0.2">
      <c r="A97" s="26" t="s">
        <v>327</v>
      </c>
      <c r="B97" s="30">
        <v>541</v>
      </c>
      <c r="C97" s="30" t="str">
        <f>LEFT(F97,1)</f>
        <v>3</v>
      </c>
      <c r="D97" s="30" t="str">
        <f>LEFT(F97,2)</f>
        <v>32</v>
      </c>
      <c r="E97" s="26" t="str">
        <f t="shared" si="4"/>
        <v>323</v>
      </c>
      <c r="F97" s="26" t="s">
        <v>97</v>
      </c>
      <c r="G97" s="26" t="s">
        <v>99</v>
      </c>
      <c r="H97" s="27"/>
      <c r="I97" s="27">
        <v>0</v>
      </c>
      <c r="J97" s="27"/>
    </row>
    <row r="98" spans="1:10" ht="20.100000000000001" customHeight="1" outlineLevel="1" x14ac:dyDescent="0.2">
      <c r="A98" s="26" t="s">
        <v>327</v>
      </c>
      <c r="B98" s="30">
        <v>541</v>
      </c>
      <c r="C98" s="30" t="str">
        <f>LEFT(F98,1)</f>
        <v>3</v>
      </c>
      <c r="D98" s="30" t="str">
        <f>LEFT(F98,2)</f>
        <v>32</v>
      </c>
      <c r="E98" s="26" t="str">
        <f t="shared" si="4"/>
        <v>329</v>
      </c>
      <c r="F98" s="26" t="s">
        <v>154</v>
      </c>
      <c r="G98" s="26" t="s">
        <v>156</v>
      </c>
      <c r="H98" s="27"/>
      <c r="I98" s="27">
        <v>600</v>
      </c>
      <c r="J98" s="27"/>
    </row>
    <row r="99" spans="1:10" ht="24.95" customHeight="1" x14ac:dyDescent="0.2">
      <c r="F99" s="230" t="s">
        <v>201</v>
      </c>
      <c r="G99" s="230"/>
      <c r="H99" s="79">
        <f>SUMIFS(H100:H267,$A100:$A267,"A212401",$B100:$B267,"561")</f>
        <v>0</v>
      </c>
      <c r="I99" s="79">
        <f>SUMIFS(I100:I267,$A100:$A267,"A212401",$B100:$B267,"561")</f>
        <v>28000</v>
      </c>
      <c r="J99" s="79">
        <f>SUMIFS(J100:J267,$A100:$A267,"A212401",$B100:$B267,"561")</f>
        <v>27200.49</v>
      </c>
    </row>
    <row r="100" spans="1:10" ht="20.100000000000001" customHeight="1" outlineLevel="1" x14ac:dyDescent="0.2">
      <c r="A100" s="26" t="s">
        <v>327</v>
      </c>
      <c r="B100" s="30">
        <v>561</v>
      </c>
      <c r="C100" s="30" t="str">
        <f t="shared" ref="C100:C106" si="11">LEFT(F100,1)</f>
        <v>3</v>
      </c>
      <c r="D100" s="30" t="str">
        <f t="shared" ref="D100:D106" si="12">LEFT(F100,2)</f>
        <v>32</v>
      </c>
      <c r="E100" s="26" t="str">
        <f t="shared" si="4"/>
        <v>321</v>
      </c>
      <c r="F100" s="26" t="s">
        <v>130</v>
      </c>
      <c r="G100" s="26" t="s">
        <v>132</v>
      </c>
      <c r="H100" s="27"/>
      <c r="I100" s="27">
        <v>18000</v>
      </c>
      <c r="J100" s="27">
        <f>21349.13+320</f>
        <v>21669.13</v>
      </c>
    </row>
    <row r="101" spans="1:10" ht="20.100000000000001" customHeight="1" outlineLevel="1" x14ac:dyDescent="0.2">
      <c r="A101" s="26" t="s">
        <v>327</v>
      </c>
      <c r="B101" s="30">
        <v>561</v>
      </c>
      <c r="C101" s="30" t="str">
        <f t="shared" si="11"/>
        <v>3</v>
      </c>
      <c r="D101" s="30" t="str">
        <f t="shared" si="12"/>
        <v>32</v>
      </c>
      <c r="E101" s="26" t="str">
        <f t="shared" si="4"/>
        <v>321</v>
      </c>
      <c r="F101" s="26" t="s">
        <v>69</v>
      </c>
      <c r="G101" s="26" t="s">
        <v>71</v>
      </c>
      <c r="H101" s="27"/>
      <c r="I101" s="27">
        <v>4000</v>
      </c>
      <c r="J101" s="27">
        <v>2150</v>
      </c>
    </row>
    <row r="102" spans="1:10" ht="20.100000000000001" customHeight="1" outlineLevel="1" x14ac:dyDescent="0.2">
      <c r="A102" s="26" t="s">
        <v>327</v>
      </c>
      <c r="B102" s="30">
        <v>561</v>
      </c>
      <c r="C102" s="30" t="str">
        <f t="shared" si="11"/>
        <v>3</v>
      </c>
      <c r="D102" s="30" t="str">
        <f t="shared" si="12"/>
        <v>32</v>
      </c>
      <c r="E102" s="26" t="str">
        <f>LEFT(F102,3)</f>
        <v>323</v>
      </c>
      <c r="F102" s="26" t="s">
        <v>38</v>
      </c>
      <c r="G102" s="26" t="s">
        <v>40</v>
      </c>
      <c r="H102" s="27"/>
      <c r="I102" s="27">
        <v>0</v>
      </c>
      <c r="J102" s="27"/>
    </row>
    <row r="103" spans="1:10" ht="20.100000000000001" customHeight="1" outlineLevel="1" x14ac:dyDescent="0.2">
      <c r="A103" s="26" t="s">
        <v>327</v>
      </c>
      <c r="B103" s="30">
        <v>561</v>
      </c>
      <c r="C103" s="30" t="str">
        <f t="shared" si="11"/>
        <v>3</v>
      </c>
      <c r="D103" s="30" t="str">
        <f t="shared" si="12"/>
        <v>32</v>
      </c>
      <c r="E103" s="26" t="str">
        <f>LEFT(F103,3)</f>
        <v>323</v>
      </c>
      <c r="F103" s="26" t="s">
        <v>91</v>
      </c>
      <c r="G103" s="26" t="s">
        <v>93</v>
      </c>
      <c r="H103" s="27"/>
      <c r="I103" s="27">
        <v>4000</v>
      </c>
      <c r="J103" s="27">
        <v>2327</v>
      </c>
    </row>
    <row r="104" spans="1:10" ht="20.100000000000001" customHeight="1" outlineLevel="1" x14ac:dyDescent="0.2">
      <c r="A104" s="26" t="s">
        <v>327</v>
      </c>
      <c r="B104" s="30">
        <v>561</v>
      </c>
      <c r="C104" s="30" t="str">
        <f>LEFT(F104,1)</f>
        <v>3</v>
      </c>
      <c r="D104" s="30" t="str">
        <f>LEFT(F104,2)</f>
        <v>32</v>
      </c>
      <c r="E104" s="26" t="str">
        <f>LEFT(F104,3)</f>
        <v>323</v>
      </c>
      <c r="F104" s="26" t="s">
        <v>41</v>
      </c>
      <c r="G104" s="26" t="s">
        <v>43</v>
      </c>
      <c r="H104" s="27"/>
      <c r="I104" s="27">
        <v>0</v>
      </c>
      <c r="J104" s="27"/>
    </row>
    <row r="105" spans="1:10" ht="20.100000000000001" customHeight="1" outlineLevel="1" x14ac:dyDescent="0.2">
      <c r="A105" s="26" t="s">
        <v>327</v>
      </c>
      <c r="B105" s="30">
        <v>561</v>
      </c>
      <c r="C105" s="30" t="str">
        <f t="shared" ref="C105" si="13">LEFT(F105,1)</f>
        <v>3</v>
      </c>
      <c r="D105" s="30" t="str">
        <f t="shared" ref="D105" si="14">LEFT(F105,2)</f>
        <v>32</v>
      </c>
      <c r="E105" s="26" t="str">
        <f>LEFT(F105,3)</f>
        <v>323</v>
      </c>
      <c r="F105" s="65">
        <v>3239</v>
      </c>
      <c r="G105" s="26" t="s">
        <v>128</v>
      </c>
      <c r="H105" s="27"/>
      <c r="I105" s="27">
        <v>0</v>
      </c>
      <c r="J105" s="27">
        <v>786.71</v>
      </c>
    </row>
    <row r="106" spans="1:10" ht="20.100000000000001" customHeight="1" outlineLevel="1" x14ac:dyDescent="0.2">
      <c r="A106" s="26" t="s">
        <v>327</v>
      </c>
      <c r="B106" s="30">
        <v>561</v>
      </c>
      <c r="C106" s="30" t="str">
        <f t="shared" si="11"/>
        <v>3</v>
      </c>
      <c r="D106" s="30" t="str">
        <f t="shared" si="12"/>
        <v>32</v>
      </c>
      <c r="E106" s="26" t="str">
        <f>LEFT(F106,3)</f>
        <v>329</v>
      </c>
      <c r="F106" s="26" t="s">
        <v>154</v>
      </c>
      <c r="G106" s="26" t="s">
        <v>156</v>
      </c>
      <c r="H106" s="27"/>
      <c r="I106" s="27">
        <v>2000</v>
      </c>
      <c r="J106" s="27">
        <v>267.64999999999998</v>
      </c>
    </row>
    <row r="107" spans="1:10" ht="24.95" customHeight="1" x14ac:dyDescent="0.2">
      <c r="F107" s="230" t="s">
        <v>37</v>
      </c>
      <c r="G107" s="230"/>
      <c r="H107" s="79">
        <f>SUMIFS(H108:H274,$A108:$A274,"A212401",$B108:$B274,"571")</f>
        <v>0</v>
      </c>
      <c r="I107" s="79">
        <f>SUMIFS(I108:I274,$A108:$A274,"A212401",$B108:$B274,"571")</f>
        <v>0</v>
      </c>
      <c r="J107" s="79">
        <f>SUMIFS(J108:J274,$A108:$A274,"A212401",$B108:$B274,"571")</f>
        <v>0</v>
      </c>
    </row>
    <row r="108" spans="1:10" ht="20.100000000000001" customHeight="1" outlineLevel="1" thickBot="1" x14ac:dyDescent="0.25">
      <c r="A108" s="26" t="s">
        <v>327</v>
      </c>
      <c r="B108" s="30">
        <v>571</v>
      </c>
      <c r="C108" s="30" t="str">
        <f>LEFT(F108,1)</f>
        <v>3</v>
      </c>
      <c r="D108" s="30" t="str">
        <f>LEFT(F108,2)</f>
        <v>32</v>
      </c>
      <c r="E108" s="26" t="str">
        <f>LEFT(F108,3)</f>
        <v>323</v>
      </c>
      <c r="F108" s="26" t="s">
        <v>41</v>
      </c>
      <c r="G108" s="26" t="s">
        <v>43</v>
      </c>
      <c r="H108" s="27"/>
      <c r="I108" s="27">
        <v>0</v>
      </c>
      <c r="J108" s="27">
        <v>0</v>
      </c>
    </row>
    <row r="109" spans="1:10" ht="35.1" customHeight="1" thickBot="1" x14ac:dyDescent="0.25">
      <c r="F109" s="225" t="s">
        <v>209</v>
      </c>
      <c r="G109" s="225"/>
      <c r="H109" s="82">
        <f>H110+H122+H135+H153</f>
        <v>0</v>
      </c>
      <c r="I109" s="82">
        <f>I110+I122+I135+I153</f>
        <v>312300</v>
      </c>
      <c r="J109" s="82">
        <f t="shared" ref="J109" si="15">J110+J122+J135+J153</f>
        <v>342414.91</v>
      </c>
    </row>
    <row r="110" spans="1:10" ht="24.95" customHeight="1" x14ac:dyDescent="0.2">
      <c r="F110" s="230" t="s">
        <v>56</v>
      </c>
      <c r="G110" s="230"/>
      <c r="H110" s="79">
        <f>SUMIFS(H111:H277,$A111:$A277,"A212402",$B111:$B277,"112")</f>
        <v>0</v>
      </c>
      <c r="I110" s="79">
        <f>SUMIFS(I111:I277,$A111:$A277,"A212402",$B111:$B277,"112")</f>
        <v>180000</v>
      </c>
      <c r="J110" s="79">
        <f>SUMIFS(J111:J277,$A111:$A277,"A212402",$B111:$B277,"112")</f>
        <v>175296.55</v>
      </c>
    </row>
    <row r="111" spans="1:10" ht="20.100000000000001" customHeight="1" outlineLevel="1" x14ac:dyDescent="0.2">
      <c r="A111" s="26" t="s">
        <v>328</v>
      </c>
      <c r="B111" s="30">
        <v>112</v>
      </c>
      <c r="C111" s="30" t="str">
        <f t="shared" ref="C111:C121" si="16">LEFT(F111,1)</f>
        <v>3</v>
      </c>
      <c r="D111" s="30" t="str">
        <f t="shared" ref="D111:D121" si="17">LEFT(F111,2)</f>
        <v>32</v>
      </c>
      <c r="E111" s="26" t="str">
        <f t="shared" ref="E111:E160" si="18">LEFT(F111,3)</f>
        <v>321</v>
      </c>
      <c r="F111" s="26" t="s">
        <v>172</v>
      </c>
      <c r="G111" s="26" t="s">
        <v>174</v>
      </c>
      <c r="H111" s="27"/>
      <c r="I111" s="27">
        <v>5000</v>
      </c>
      <c r="J111" s="27"/>
    </row>
    <row r="112" spans="1:10" ht="20.100000000000001" customHeight="1" outlineLevel="1" x14ac:dyDescent="0.2">
      <c r="A112" s="26" t="s">
        <v>328</v>
      </c>
      <c r="B112" s="30">
        <v>112</v>
      </c>
      <c r="C112" s="30" t="str">
        <f t="shared" si="16"/>
        <v>3</v>
      </c>
      <c r="D112" s="30" t="str">
        <f t="shared" si="17"/>
        <v>32</v>
      </c>
      <c r="E112" s="26" t="str">
        <f t="shared" si="18"/>
        <v>322</v>
      </c>
      <c r="F112" s="26" t="s">
        <v>72</v>
      </c>
      <c r="G112" s="26" t="s">
        <v>74</v>
      </c>
      <c r="H112" s="27"/>
      <c r="I112" s="27">
        <v>60000</v>
      </c>
      <c r="J112" s="27">
        <v>60724.45</v>
      </c>
    </row>
    <row r="113" spans="1:12" ht="20.100000000000001" customHeight="1" outlineLevel="1" x14ac:dyDescent="0.2">
      <c r="A113" s="26" t="s">
        <v>328</v>
      </c>
      <c r="B113" s="30">
        <v>112</v>
      </c>
      <c r="C113" s="30" t="str">
        <f t="shared" si="16"/>
        <v>3</v>
      </c>
      <c r="D113" s="30" t="str">
        <f t="shared" si="17"/>
        <v>32</v>
      </c>
      <c r="E113" s="26" t="str">
        <f t="shared" si="18"/>
        <v>322</v>
      </c>
      <c r="F113" s="26" t="s">
        <v>75</v>
      </c>
      <c r="G113" s="26" t="s">
        <v>77</v>
      </c>
      <c r="H113" s="27"/>
      <c r="I113" s="27">
        <v>11200</v>
      </c>
      <c r="J113" s="27">
        <v>3629.5</v>
      </c>
    </row>
    <row r="114" spans="1:12" ht="20.100000000000001" customHeight="1" outlineLevel="1" x14ac:dyDescent="0.2">
      <c r="A114" s="26" t="s">
        <v>328</v>
      </c>
      <c r="B114" s="30">
        <v>112</v>
      </c>
      <c r="C114" s="30" t="str">
        <f t="shared" si="16"/>
        <v>3</v>
      </c>
      <c r="D114" s="30" t="str">
        <f t="shared" si="17"/>
        <v>32</v>
      </c>
      <c r="E114" s="26" t="str">
        <f t="shared" si="18"/>
        <v>323</v>
      </c>
      <c r="F114" s="26" t="s">
        <v>87</v>
      </c>
      <c r="G114" s="26" t="s">
        <v>89</v>
      </c>
      <c r="H114" s="27"/>
      <c r="I114" s="27">
        <v>0</v>
      </c>
      <c r="J114" s="27"/>
    </row>
    <row r="115" spans="1:12" ht="20.100000000000001" customHeight="1" outlineLevel="1" x14ac:dyDescent="0.2">
      <c r="A115" s="26" t="s">
        <v>328</v>
      </c>
      <c r="B115" s="30">
        <v>112</v>
      </c>
      <c r="C115" s="30" t="str">
        <f t="shared" si="16"/>
        <v>3</v>
      </c>
      <c r="D115" s="30" t="str">
        <f t="shared" si="17"/>
        <v>32</v>
      </c>
      <c r="E115" s="26" t="str">
        <f t="shared" si="18"/>
        <v>323</v>
      </c>
      <c r="F115" s="26" t="s">
        <v>38</v>
      </c>
      <c r="G115" s="26" t="s">
        <v>40</v>
      </c>
      <c r="H115" s="27"/>
      <c r="I115" s="27">
        <v>0</v>
      </c>
      <c r="J115" s="27"/>
    </row>
    <row r="116" spans="1:12" ht="20.100000000000001" customHeight="1" outlineLevel="1" x14ac:dyDescent="0.2">
      <c r="A116" s="26" t="s">
        <v>328</v>
      </c>
      <c r="B116" s="30">
        <v>112</v>
      </c>
      <c r="C116" s="30" t="str">
        <f t="shared" si="16"/>
        <v>3</v>
      </c>
      <c r="D116" s="30" t="str">
        <f t="shared" si="17"/>
        <v>32</v>
      </c>
      <c r="E116" s="26" t="str">
        <f t="shared" si="18"/>
        <v>323</v>
      </c>
      <c r="F116" s="26" t="s">
        <v>91</v>
      </c>
      <c r="G116" s="26" t="s">
        <v>93</v>
      </c>
      <c r="H116" s="27"/>
      <c r="I116" s="27">
        <v>900</v>
      </c>
      <c r="J116" s="27">
        <v>591.25</v>
      </c>
    </row>
    <row r="117" spans="1:12" ht="20.100000000000001" customHeight="1" outlineLevel="1" x14ac:dyDescent="0.2">
      <c r="A117" s="26" t="s">
        <v>328</v>
      </c>
      <c r="B117" s="30">
        <v>112</v>
      </c>
      <c r="C117" s="30" t="str">
        <f t="shared" si="16"/>
        <v>3</v>
      </c>
      <c r="D117" s="30" t="str">
        <f t="shared" si="17"/>
        <v>32</v>
      </c>
      <c r="E117" s="26" t="str">
        <f t="shared" si="18"/>
        <v>323</v>
      </c>
      <c r="F117" s="26" t="s">
        <v>97</v>
      </c>
      <c r="G117" s="26" t="s">
        <v>99</v>
      </c>
      <c r="H117" s="27"/>
      <c r="I117" s="27">
        <v>0</v>
      </c>
      <c r="J117" s="27"/>
    </row>
    <row r="118" spans="1:12" ht="20.100000000000001" customHeight="1" outlineLevel="1" x14ac:dyDescent="0.2">
      <c r="A118" s="26" t="s">
        <v>328</v>
      </c>
      <c r="B118" s="30">
        <v>112</v>
      </c>
      <c r="C118" s="30" t="str">
        <f t="shared" si="16"/>
        <v>3</v>
      </c>
      <c r="D118" s="30" t="str">
        <f t="shared" si="17"/>
        <v>32</v>
      </c>
      <c r="E118" s="26" t="str">
        <f t="shared" si="18"/>
        <v>323</v>
      </c>
      <c r="F118" s="26" t="s">
        <v>41</v>
      </c>
      <c r="G118" s="26" t="s">
        <v>43</v>
      </c>
      <c r="H118" s="27"/>
      <c r="I118" s="27">
        <v>58800</v>
      </c>
      <c r="J118" s="27">
        <v>74866.350000000006</v>
      </c>
    </row>
    <row r="119" spans="1:12" ht="20.100000000000001" customHeight="1" outlineLevel="1" x14ac:dyDescent="0.2">
      <c r="A119" s="26" t="s">
        <v>328</v>
      </c>
      <c r="B119" s="30">
        <v>112</v>
      </c>
      <c r="C119" s="30" t="str">
        <f t="shared" si="16"/>
        <v>3</v>
      </c>
      <c r="D119" s="30" t="str">
        <f t="shared" si="17"/>
        <v>32</v>
      </c>
      <c r="E119" s="26" t="str">
        <f t="shared" si="18"/>
        <v>323</v>
      </c>
      <c r="F119" s="26" t="s">
        <v>104</v>
      </c>
      <c r="G119" s="26" t="s">
        <v>106</v>
      </c>
      <c r="H119" s="27"/>
      <c r="I119" s="27">
        <v>23000</v>
      </c>
      <c r="J119" s="27">
        <v>23000</v>
      </c>
    </row>
    <row r="120" spans="1:12" ht="20.100000000000001" customHeight="1" outlineLevel="1" x14ac:dyDescent="0.2">
      <c r="A120" s="26" t="s">
        <v>328</v>
      </c>
      <c r="B120" s="30">
        <v>112</v>
      </c>
      <c r="C120" s="30" t="str">
        <f t="shared" si="16"/>
        <v>3</v>
      </c>
      <c r="D120" s="30" t="str">
        <f t="shared" si="17"/>
        <v>32</v>
      </c>
      <c r="E120" s="26" t="str">
        <f t="shared" si="18"/>
        <v>323</v>
      </c>
      <c r="F120" s="26" t="s">
        <v>126</v>
      </c>
      <c r="G120" s="26" t="s">
        <v>128</v>
      </c>
      <c r="H120" s="27"/>
      <c r="I120" s="27">
        <v>21100</v>
      </c>
      <c r="J120" s="27">
        <v>12485</v>
      </c>
    </row>
    <row r="121" spans="1:12" ht="20.100000000000001" customHeight="1" outlineLevel="1" x14ac:dyDescent="0.2">
      <c r="A121" s="26" t="s">
        <v>328</v>
      </c>
      <c r="B121" s="30">
        <v>112</v>
      </c>
      <c r="C121" s="30" t="str">
        <f t="shared" si="16"/>
        <v>3</v>
      </c>
      <c r="D121" s="30" t="str">
        <f t="shared" si="17"/>
        <v>32</v>
      </c>
      <c r="E121" s="26" t="str">
        <f t="shared" si="18"/>
        <v>329</v>
      </c>
      <c r="F121" s="26" t="s">
        <v>154</v>
      </c>
      <c r="G121" s="26" t="s">
        <v>156</v>
      </c>
      <c r="H121" s="27"/>
      <c r="I121" s="27">
        <v>0</v>
      </c>
      <c r="J121" s="27"/>
    </row>
    <row r="122" spans="1:12" ht="24.95" customHeight="1" x14ac:dyDescent="0.2">
      <c r="F122" s="230" t="s">
        <v>129</v>
      </c>
      <c r="G122" s="230"/>
      <c r="H122" s="79">
        <f>SUMIFS(H123:H289,$A123:$A289,"A212402",$B123:$B289,"431")</f>
        <v>0</v>
      </c>
      <c r="I122" s="79">
        <f>SUMIFS(I123:I289,$A123:$A289,"A212402",$B123:$B289,"431")</f>
        <v>56300</v>
      </c>
      <c r="J122" s="79">
        <f>SUMIFS(J123:J289,$A123:$A289,"A212402",$B123:$B289,"431")</f>
        <v>94772.010000000009</v>
      </c>
      <c r="K122" s="25" t="s">
        <v>347</v>
      </c>
      <c r="L122" s="25" t="s">
        <v>349</v>
      </c>
    </row>
    <row r="123" spans="1:12" ht="20.100000000000001" customHeight="1" outlineLevel="1" x14ac:dyDescent="0.2">
      <c r="A123" s="26" t="s">
        <v>328</v>
      </c>
      <c r="B123" s="30">
        <v>431</v>
      </c>
      <c r="C123" s="30" t="str">
        <f t="shared" ref="C123:C134" si="19">LEFT(F123,1)</f>
        <v>3</v>
      </c>
      <c r="D123" s="30" t="str">
        <f t="shared" ref="D123:D134" si="20">LEFT(F123,2)</f>
        <v>32</v>
      </c>
      <c r="E123" s="26" t="str">
        <f t="shared" si="18"/>
        <v>321</v>
      </c>
      <c r="F123" s="26" t="s">
        <v>130</v>
      </c>
      <c r="G123" s="26" t="s">
        <v>132</v>
      </c>
      <c r="H123" s="27"/>
      <c r="I123" s="27">
        <v>20000</v>
      </c>
      <c r="J123" s="27">
        <v>16665.310000000001</v>
      </c>
    </row>
    <row r="124" spans="1:12" ht="20.100000000000001" customHeight="1" outlineLevel="1" x14ac:dyDescent="0.2">
      <c r="A124" s="26" t="s">
        <v>328</v>
      </c>
      <c r="B124" s="30">
        <v>431</v>
      </c>
      <c r="C124" s="30" t="str">
        <f t="shared" si="19"/>
        <v>3</v>
      </c>
      <c r="D124" s="30" t="str">
        <f t="shared" si="20"/>
        <v>32</v>
      </c>
      <c r="E124" s="26" t="str">
        <f t="shared" si="18"/>
        <v>321</v>
      </c>
      <c r="F124" s="26" t="s">
        <v>69</v>
      </c>
      <c r="G124" s="26" t="s">
        <v>71</v>
      </c>
      <c r="H124" s="27"/>
      <c r="I124" s="27">
        <v>2000</v>
      </c>
      <c r="J124" s="27">
        <v>1411.47</v>
      </c>
    </row>
    <row r="125" spans="1:12" ht="20.100000000000001" customHeight="1" outlineLevel="1" x14ac:dyDescent="0.2">
      <c r="A125" s="26" t="s">
        <v>328</v>
      </c>
      <c r="B125" s="30">
        <v>431</v>
      </c>
      <c r="C125" s="30" t="str">
        <f t="shared" si="19"/>
        <v>3</v>
      </c>
      <c r="D125" s="30" t="str">
        <f t="shared" si="20"/>
        <v>32</v>
      </c>
      <c r="E125" s="26" t="str">
        <f t="shared" si="18"/>
        <v>322</v>
      </c>
      <c r="F125" s="26" t="s">
        <v>72</v>
      </c>
      <c r="G125" s="26" t="s">
        <v>74</v>
      </c>
      <c r="H125" s="27"/>
      <c r="I125" s="27">
        <v>1000</v>
      </c>
      <c r="J125" s="27">
        <v>37892.080000000002</v>
      </c>
    </row>
    <row r="126" spans="1:12" ht="20.100000000000001" customHeight="1" outlineLevel="1" x14ac:dyDescent="0.2">
      <c r="A126" s="26" t="s">
        <v>328</v>
      </c>
      <c r="B126" s="30">
        <v>431</v>
      </c>
      <c r="C126" s="30" t="str">
        <f t="shared" si="19"/>
        <v>3</v>
      </c>
      <c r="D126" s="30" t="str">
        <f t="shared" si="20"/>
        <v>32</v>
      </c>
      <c r="E126" s="26" t="str">
        <f t="shared" si="18"/>
        <v>322</v>
      </c>
      <c r="F126" s="26" t="s">
        <v>75</v>
      </c>
      <c r="G126" s="26" t="s">
        <v>77</v>
      </c>
      <c r="H126" s="27"/>
      <c r="I126" s="27">
        <v>1000</v>
      </c>
      <c r="J126" s="27">
        <v>1151.2</v>
      </c>
    </row>
    <row r="127" spans="1:12" ht="20.100000000000001" customHeight="1" outlineLevel="1" x14ac:dyDescent="0.2">
      <c r="A127" s="26" t="s">
        <v>328</v>
      </c>
      <c r="B127" s="30">
        <v>431</v>
      </c>
      <c r="C127" s="30" t="str">
        <f t="shared" si="19"/>
        <v>3</v>
      </c>
      <c r="D127" s="30" t="str">
        <f t="shared" si="20"/>
        <v>32</v>
      </c>
      <c r="E127" s="26" t="str">
        <f t="shared" si="18"/>
        <v>322</v>
      </c>
      <c r="F127" s="26" t="s">
        <v>84</v>
      </c>
      <c r="G127" s="26" t="s">
        <v>86</v>
      </c>
      <c r="H127" s="27"/>
      <c r="I127" s="27">
        <v>1000</v>
      </c>
      <c r="J127" s="27">
        <v>575.54999999999995</v>
      </c>
    </row>
    <row r="128" spans="1:12" ht="20.100000000000001" customHeight="1" outlineLevel="1" x14ac:dyDescent="0.2">
      <c r="A128" s="26" t="s">
        <v>328</v>
      </c>
      <c r="B128" s="30">
        <v>431</v>
      </c>
      <c r="C128" s="30" t="str">
        <f t="shared" si="19"/>
        <v>3</v>
      </c>
      <c r="D128" s="30" t="str">
        <f t="shared" si="20"/>
        <v>32</v>
      </c>
      <c r="E128" s="26" t="str">
        <f t="shared" si="18"/>
        <v>323</v>
      </c>
      <c r="F128" s="26" t="s">
        <v>87</v>
      </c>
      <c r="G128" s="26" t="s">
        <v>89</v>
      </c>
      <c r="H128" s="27"/>
      <c r="I128" s="27">
        <v>500</v>
      </c>
      <c r="J128" s="27">
        <v>44.29</v>
      </c>
    </row>
    <row r="129" spans="1:12" ht="20.100000000000001" customHeight="1" outlineLevel="1" x14ac:dyDescent="0.2">
      <c r="A129" s="26" t="s">
        <v>328</v>
      </c>
      <c r="B129" s="30">
        <v>431</v>
      </c>
      <c r="C129" s="30" t="str">
        <f t="shared" si="19"/>
        <v>3</v>
      </c>
      <c r="D129" s="30" t="str">
        <f t="shared" si="20"/>
        <v>32</v>
      </c>
      <c r="E129" s="26" t="str">
        <f t="shared" si="18"/>
        <v>323</v>
      </c>
      <c r="F129" s="26" t="s">
        <v>91</v>
      </c>
      <c r="G129" s="26" t="s">
        <v>93</v>
      </c>
      <c r="H129" s="27"/>
      <c r="I129" s="27">
        <v>700</v>
      </c>
      <c r="J129" s="27"/>
    </row>
    <row r="130" spans="1:12" ht="20.100000000000001" customHeight="1" outlineLevel="1" x14ac:dyDescent="0.2">
      <c r="A130" s="26" t="s">
        <v>328</v>
      </c>
      <c r="B130" s="30">
        <v>431</v>
      </c>
      <c r="C130" s="30" t="str">
        <f t="shared" si="19"/>
        <v>3</v>
      </c>
      <c r="D130" s="30" t="str">
        <f t="shared" si="20"/>
        <v>32</v>
      </c>
      <c r="E130" s="26" t="str">
        <f t="shared" si="18"/>
        <v>323</v>
      </c>
      <c r="F130" s="26" t="s">
        <v>97</v>
      </c>
      <c r="G130" s="26" t="s">
        <v>99</v>
      </c>
      <c r="H130" s="27"/>
      <c r="I130" s="27">
        <v>0</v>
      </c>
      <c r="J130" s="27">
        <v>219.65</v>
      </c>
    </row>
    <row r="131" spans="1:12" ht="20.100000000000001" customHeight="1" outlineLevel="1" x14ac:dyDescent="0.2">
      <c r="A131" s="26" t="s">
        <v>328</v>
      </c>
      <c r="B131" s="30">
        <v>431</v>
      </c>
      <c r="C131" s="30" t="str">
        <f t="shared" si="19"/>
        <v>3</v>
      </c>
      <c r="D131" s="30" t="str">
        <f t="shared" si="20"/>
        <v>32</v>
      </c>
      <c r="E131" s="26" t="str">
        <f t="shared" si="18"/>
        <v>323</v>
      </c>
      <c r="F131" s="26" t="s">
        <v>41</v>
      </c>
      <c r="G131" s="26" t="s">
        <v>43</v>
      </c>
      <c r="H131" s="27"/>
      <c r="I131" s="27">
        <v>22100</v>
      </c>
      <c r="J131" s="27">
        <v>28730.21</v>
      </c>
    </row>
    <row r="132" spans="1:12" ht="20.100000000000001" customHeight="1" outlineLevel="1" x14ac:dyDescent="0.2">
      <c r="A132" s="26" t="s">
        <v>328</v>
      </c>
      <c r="B132" s="30">
        <v>431</v>
      </c>
      <c r="C132" s="30" t="str">
        <f t="shared" si="19"/>
        <v>3</v>
      </c>
      <c r="D132" s="30" t="str">
        <f t="shared" si="20"/>
        <v>32</v>
      </c>
      <c r="E132" s="26" t="str">
        <f t="shared" si="18"/>
        <v>323</v>
      </c>
      <c r="F132" s="26" t="s">
        <v>104</v>
      </c>
      <c r="G132" s="26" t="s">
        <v>106</v>
      </c>
      <c r="H132" s="27"/>
      <c r="I132" s="27">
        <v>1000</v>
      </c>
      <c r="J132" s="27">
        <v>2064.25</v>
      </c>
    </row>
    <row r="133" spans="1:12" ht="20.100000000000001" customHeight="1" outlineLevel="1" x14ac:dyDescent="0.2">
      <c r="A133" s="26" t="s">
        <v>328</v>
      </c>
      <c r="B133" s="30">
        <v>431</v>
      </c>
      <c r="C133" s="30" t="str">
        <f t="shared" si="19"/>
        <v>3</v>
      </c>
      <c r="D133" s="30" t="str">
        <f t="shared" si="20"/>
        <v>32</v>
      </c>
      <c r="E133" s="26" t="str">
        <f t="shared" si="18"/>
        <v>323</v>
      </c>
      <c r="F133" s="26" t="s">
        <v>126</v>
      </c>
      <c r="G133" s="26" t="s">
        <v>128</v>
      </c>
      <c r="H133" s="27"/>
      <c r="I133" s="27">
        <v>4000</v>
      </c>
      <c r="J133" s="27">
        <v>3418.16</v>
      </c>
    </row>
    <row r="134" spans="1:12" ht="20.100000000000001" customHeight="1" outlineLevel="1" x14ac:dyDescent="0.2">
      <c r="A134" s="26" t="s">
        <v>328</v>
      </c>
      <c r="B134" s="30">
        <v>431</v>
      </c>
      <c r="C134" s="30" t="str">
        <f t="shared" si="19"/>
        <v>3</v>
      </c>
      <c r="D134" s="30" t="str">
        <f t="shared" si="20"/>
        <v>32</v>
      </c>
      <c r="E134" s="26" t="str">
        <f t="shared" si="18"/>
        <v>329</v>
      </c>
      <c r="F134" s="26" t="s">
        <v>154</v>
      </c>
      <c r="G134" s="26" t="s">
        <v>156</v>
      </c>
      <c r="H134" s="27"/>
      <c r="I134" s="27">
        <v>3000</v>
      </c>
      <c r="J134" s="27">
        <v>2599.84</v>
      </c>
      <c r="K134" s="56" t="s">
        <v>354</v>
      </c>
      <c r="L134" s="56" t="s">
        <v>353</v>
      </c>
    </row>
    <row r="135" spans="1:12" ht="24.95" customHeight="1" x14ac:dyDescent="0.2">
      <c r="F135" s="230" t="s">
        <v>26</v>
      </c>
      <c r="G135" s="230"/>
      <c r="H135" s="79">
        <f t="shared" ref="H135:L135" si="21">SUMIFS(H136:H302,$A136:$A302,"A212402",$B136:$B302,"521")</f>
        <v>0</v>
      </c>
      <c r="I135" s="79">
        <f t="shared" si="21"/>
        <v>73100</v>
      </c>
      <c r="J135" s="79">
        <f t="shared" si="21"/>
        <v>70183.179999999993</v>
      </c>
      <c r="K135" s="25">
        <f t="shared" si="21"/>
        <v>65022.73</v>
      </c>
      <c r="L135" s="25">
        <f t="shared" si="21"/>
        <v>5160.45</v>
      </c>
    </row>
    <row r="136" spans="1:12" ht="20.100000000000001" customHeight="1" outlineLevel="1" x14ac:dyDescent="0.2">
      <c r="A136" s="26" t="s">
        <v>328</v>
      </c>
      <c r="B136" s="30">
        <v>521</v>
      </c>
      <c r="C136" s="30" t="str">
        <f t="shared" ref="C136:C152" si="22">LEFT(F136,1)</f>
        <v>3</v>
      </c>
      <c r="D136" s="30" t="str">
        <f t="shared" ref="D136:D152" si="23">LEFT(F136,2)</f>
        <v>32</v>
      </c>
      <c r="E136" s="26" t="str">
        <f t="shared" si="18"/>
        <v>321</v>
      </c>
      <c r="F136" s="26" t="s">
        <v>130</v>
      </c>
      <c r="G136" s="26" t="s">
        <v>132</v>
      </c>
      <c r="H136" s="27"/>
      <c r="I136" s="27">
        <v>6000</v>
      </c>
      <c r="J136" s="27">
        <f t="shared" ref="J136:J152" si="24">K136+L136</f>
        <v>3575.79</v>
      </c>
      <c r="K136" s="27">
        <v>3575.79</v>
      </c>
      <c r="L136" s="27"/>
    </row>
    <row r="137" spans="1:12" ht="20.100000000000001" customHeight="1" outlineLevel="1" x14ac:dyDescent="0.2">
      <c r="A137" s="26" t="s">
        <v>328</v>
      </c>
      <c r="B137" s="30">
        <v>521</v>
      </c>
      <c r="C137" s="30" t="str">
        <f t="shared" si="22"/>
        <v>3</v>
      </c>
      <c r="D137" s="30" t="str">
        <f t="shared" si="23"/>
        <v>32</v>
      </c>
      <c r="E137" s="26" t="str">
        <f t="shared" si="18"/>
        <v>321</v>
      </c>
      <c r="F137" s="26" t="s">
        <v>69</v>
      </c>
      <c r="G137" s="26" t="s">
        <v>71</v>
      </c>
      <c r="H137" s="27"/>
      <c r="I137" s="27">
        <v>4000</v>
      </c>
      <c r="J137" s="27">
        <f t="shared" si="24"/>
        <v>1395</v>
      </c>
      <c r="K137" s="27">
        <v>1395</v>
      </c>
      <c r="L137" s="27"/>
    </row>
    <row r="138" spans="1:12" ht="20.100000000000001" customHeight="1" outlineLevel="1" x14ac:dyDescent="0.2">
      <c r="A138" s="26" t="s">
        <v>328</v>
      </c>
      <c r="B138" s="30">
        <v>521</v>
      </c>
      <c r="C138" s="30" t="str">
        <f t="shared" si="22"/>
        <v>3</v>
      </c>
      <c r="D138" s="30" t="str">
        <f t="shared" si="23"/>
        <v>32</v>
      </c>
      <c r="E138" s="26" t="str">
        <f t="shared" si="18"/>
        <v>322</v>
      </c>
      <c r="F138" s="26" t="s">
        <v>72</v>
      </c>
      <c r="G138" s="26" t="s">
        <v>74</v>
      </c>
      <c r="H138" s="27"/>
      <c r="I138" s="27">
        <v>0</v>
      </c>
      <c r="J138" s="27">
        <f t="shared" si="24"/>
        <v>0</v>
      </c>
      <c r="K138" s="27"/>
      <c r="L138" s="27"/>
    </row>
    <row r="139" spans="1:12" ht="20.100000000000001" customHeight="1" outlineLevel="1" x14ac:dyDescent="0.2">
      <c r="A139" s="26" t="s">
        <v>328</v>
      </c>
      <c r="B139" s="30">
        <v>521</v>
      </c>
      <c r="C139" s="30" t="str">
        <f t="shared" si="22"/>
        <v>3</v>
      </c>
      <c r="D139" s="30" t="str">
        <f t="shared" si="23"/>
        <v>32</v>
      </c>
      <c r="E139" s="26" t="str">
        <f t="shared" si="18"/>
        <v>322</v>
      </c>
      <c r="F139" s="26" t="s">
        <v>75</v>
      </c>
      <c r="G139" s="26" t="s">
        <v>77</v>
      </c>
      <c r="H139" s="27"/>
      <c r="I139" s="27">
        <v>2000</v>
      </c>
      <c r="J139" s="27">
        <f t="shared" si="24"/>
        <v>636.55999999999995</v>
      </c>
      <c r="K139" s="27">
        <v>636.55999999999995</v>
      </c>
      <c r="L139" s="27"/>
    </row>
    <row r="140" spans="1:12" ht="20.100000000000001" customHeight="1" outlineLevel="1" x14ac:dyDescent="0.2">
      <c r="A140" s="26" t="s">
        <v>328</v>
      </c>
      <c r="B140" s="30">
        <v>521</v>
      </c>
      <c r="C140" s="30" t="str">
        <f t="shared" si="22"/>
        <v>3</v>
      </c>
      <c r="D140" s="30" t="str">
        <f t="shared" si="23"/>
        <v>32</v>
      </c>
      <c r="E140" s="26" t="str">
        <f t="shared" si="18"/>
        <v>322</v>
      </c>
      <c r="F140" s="26" t="s">
        <v>78</v>
      </c>
      <c r="G140" s="26" t="s">
        <v>80</v>
      </c>
      <c r="H140" s="27"/>
      <c r="I140" s="27">
        <v>0</v>
      </c>
      <c r="J140" s="27">
        <f t="shared" si="24"/>
        <v>364.8</v>
      </c>
      <c r="K140" s="27">
        <v>364.8</v>
      </c>
      <c r="L140" s="27"/>
    </row>
    <row r="141" spans="1:12" ht="20.100000000000001" customHeight="1" outlineLevel="1" x14ac:dyDescent="0.2">
      <c r="A141" s="26" t="s">
        <v>328</v>
      </c>
      <c r="B141" s="30">
        <v>521</v>
      </c>
      <c r="C141" s="30" t="str">
        <f t="shared" si="22"/>
        <v>3</v>
      </c>
      <c r="D141" s="30" t="str">
        <f t="shared" si="23"/>
        <v>32</v>
      </c>
      <c r="E141" s="26" t="str">
        <f t="shared" si="18"/>
        <v>322</v>
      </c>
      <c r="F141" s="26" t="s">
        <v>81</v>
      </c>
      <c r="G141" s="26" t="s">
        <v>83</v>
      </c>
      <c r="H141" s="27"/>
      <c r="I141" s="27">
        <v>0</v>
      </c>
      <c r="J141" s="27">
        <f t="shared" si="24"/>
        <v>0</v>
      </c>
      <c r="K141" s="27"/>
      <c r="L141" s="27"/>
    </row>
    <row r="142" spans="1:12" ht="20.100000000000001" customHeight="1" outlineLevel="1" x14ac:dyDescent="0.2">
      <c r="A142" s="26" t="s">
        <v>328</v>
      </c>
      <c r="B142" s="30">
        <v>521</v>
      </c>
      <c r="C142" s="30" t="str">
        <f t="shared" si="22"/>
        <v>3</v>
      </c>
      <c r="D142" s="30" t="str">
        <f t="shared" si="23"/>
        <v>32</v>
      </c>
      <c r="E142" s="26" t="str">
        <f t="shared" si="18"/>
        <v>322</v>
      </c>
      <c r="F142" s="26" t="s">
        <v>84</v>
      </c>
      <c r="G142" s="26" t="s">
        <v>86</v>
      </c>
      <c r="H142" s="27"/>
      <c r="I142" s="27">
        <v>0</v>
      </c>
      <c r="J142" s="27">
        <f t="shared" si="24"/>
        <v>0</v>
      </c>
      <c r="K142" s="27"/>
      <c r="L142" s="27"/>
    </row>
    <row r="143" spans="1:12" ht="20.100000000000001" customHeight="1" outlineLevel="1" x14ac:dyDescent="0.2">
      <c r="A143" s="26" t="s">
        <v>328</v>
      </c>
      <c r="B143" s="30">
        <v>521</v>
      </c>
      <c r="C143" s="30" t="str">
        <f t="shared" si="22"/>
        <v>3</v>
      </c>
      <c r="D143" s="30" t="str">
        <f t="shared" si="23"/>
        <v>32</v>
      </c>
      <c r="E143" s="26" t="str">
        <f t="shared" si="18"/>
        <v>323</v>
      </c>
      <c r="F143" s="26" t="s">
        <v>87</v>
      </c>
      <c r="G143" s="26" t="s">
        <v>89</v>
      </c>
      <c r="H143" s="27"/>
      <c r="I143" s="27">
        <v>0</v>
      </c>
      <c r="J143" s="27">
        <f t="shared" si="24"/>
        <v>0</v>
      </c>
      <c r="K143" s="27"/>
      <c r="L143" s="27"/>
    </row>
    <row r="144" spans="1:12" ht="20.100000000000001" customHeight="1" outlineLevel="1" x14ac:dyDescent="0.2">
      <c r="A144" s="26" t="s">
        <v>328</v>
      </c>
      <c r="B144" s="30">
        <v>521</v>
      </c>
      <c r="C144" s="30" t="str">
        <f t="shared" si="22"/>
        <v>3</v>
      </c>
      <c r="D144" s="30" t="str">
        <f t="shared" si="23"/>
        <v>32</v>
      </c>
      <c r="E144" s="26" t="str">
        <f t="shared" si="18"/>
        <v>323</v>
      </c>
      <c r="F144" s="26" t="s">
        <v>91</v>
      </c>
      <c r="G144" s="26" t="s">
        <v>93</v>
      </c>
      <c r="H144" s="27"/>
      <c r="I144" s="27">
        <v>1800</v>
      </c>
      <c r="J144" s="27">
        <f t="shared" si="24"/>
        <v>0</v>
      </c>
      <c r="K144" s="27"/>
      <c r="L144" s="27"/>
    </row>
    <row r="145" spans="1:12" ht="20.100000000000001" customHeight="1" outlineLevel="1" x14ac:dyDescent="0.2">
      <c r="A145" s="26" t="s">
        <v>328</v>
      </c>
      <c r="B145" s="30">
        <v>521</v>
      </c>
      <c r="C145" s="30" t="str">
        <f t="shared" si="22"/>
        <v>3</v>
      </c>
      <c r="D145" s="30" t="str">
        <f t="shared" si="23"/>
        <v>32</v>
      </c>
      <c r="E145" s="26" t="str">
        <f t="shared" si="18"/>
        <v>323</v>
      </c>
      <c r="F145" s="26" t="s">
        <v>97</v>
      </c>
      <c r="G145" s="26" t="s">
        <v>99</v>
      </c>
      <c r="H145" s="27"/>
      <c r="I145" s="27">
        <v>0</v>
      </c>
      <c r="J145" s="27">
        <f t="shared" si="24"/>
        <v>0</v>
      </c>
      <c r="K145" s="27"/>
      <c r="L145" s="27"/>
    </row>
    <row r="146" spans="1:12" ht="20.100000000000001" customHeight="1" outlineLevel="1" x14ac:dyDescent="0.2">
      <c r="A146" s="26" t="s">
        <v>328</v>
      </c>
      <c r="B146" s="30">
        <v>521</v>
      </c>
      <c r="C146" s="30" t="str">
        <f t="shared" si="22"/>
        <v>3</v>
      </c>
      <c r="D146" s="30" t="str">
        <f t="shared" si="23"/>
        <v>32</v>
      </c>
      <c r="E146" s="26" t="str">
        <f t="shared" si="18"/>
        <v>323</v>
      </c>
      <c r="F146" s="26" t="s">
        <v>41</v>
      </c>
      <c r="G146" s="26" t="s">
        <v>43</v>
      </c>
      <c r="H146" s="27"/>
      <c r="I146" s="27">
        <v>28500</v>
      </c>
      <c r="J146" s="27">
        <f t="shared" si="24"/>
        <v>27515.66</v>
      </c>
      <c r="K146" s="27">
        <v>26500.66</v>
      </c>
      <c r="L146" s="27">
        <v>1015</v>
      </c>
    </row>
    <row r="147" spans="1:12" ht="20.100000000000001" customHeight="1" outlineLevel="1" x14ac:dyDescent="0.2">
      <c r="A147" s="26" t="s">
        <v>328</v>
      </c>
      <c r="B147" s="30">
        <v>521</v>
      </c>
      <c r="C147" s="30" t="str">
        <f t="shared" si="22"/>
        <v>3</v>
      </c>
      <c r="D147" s="30" t="str">
        <f t="shared" si="23"/>
        <v>32</v>
      </c>
      <c r="E147" s="26" t="str">
        <f t="shared" si="18"/>
        <v>323</v>
      </c>
      <c r="F147" s="26" t="s">
        <v>104</v>
      </c>
      <c r="G147" s="26" t="s">
        <v>106</v>
      </c>
      <c r="H147" s="27"/>
      <c r="I147" s="27">
        <v>13500</v>
      </c>
      <c r="J147" s="27">
        <f t="shared" si="24"/>
        <v>14082.5</v>
      </c>
      <c r="K147" s="27">
        <v>14082.5</v>
      </c>
      <c r="L147" s="27"/>
    </row>
    <row r="148" spans="1:12" ht="20.100000000000001" customHeight="1" outlineLevel="1" x14ac:dyDescent="0.2">
      <c r="A148" s="26" t="s">
        <v>328</v>
      </c>
      <c r="B148" s="30">
        <v>521</v>
      </c>
      <c r="C148" s="30" t="str">
        <f t="shared" si="22"/>
        <v>3</v>
      </c>
      <c r="D148" s="30" t="str">
        <f t="shared" si="23"/>
        <v>32</v>
      </c>
      <c r="E148" s="26" t="str">
        <f t="shared" si="18"/>
        <v>323</v>
      </c>
      <c r="F148" s="26" t="s">
        <v>126</v>
      </c>
      <c r="G148" s="26" t="s">
        <v>128</v>
      </c>
      <c r="H148" s="27"/>
      <c r="I148" s="27">
        <v>11000</v>
      </c>
      <c r="J148" s="27">
        <f t="shared" si="24"/>
        <v>18570.39</v>
      </c>
      <c r="K148" s="27">
        <v>14449.94</v>
      </c>
      <c r="L148" s="27">
        <v>4120.45</v>
      </c>
    </row>
    <row r="149" spans="1:12" ht="20.100000000000001" customHeight="1" outlineLevel="1" x14ac:dyDescent="0.2">
      <c r="A149" s="26" t="s">
        <v>328</v>
      </c>
      <c r="B149" s="30">
        <v>521</v>
      </c>
      <c r="C149" s="30" t="str">
        <f t="shared" si="22"/>
        <v>3</v>
      </c>
      <c r="D149" s="30" t="str">
        <f t="shared" si="23"/>
        <v>32</v>
      </c>
      <c r="E149" s="26" t="str">
        <f t="shared" si="18"/>
        <v>324</v>
      </c>
      <c r="F149" s="26" t="s">
        <v>150</v>
      </c>
      <c r="G149" s="26" t="s">
        <v>152</v>
      </c>
      <c r="H149" s="27"/>
      <c r="I149" s="27">
        <v>1000</v>
      </c>
      <c r="J149" s="27">
        <f t="shared" si="24"/>
        <v>407.3</v>
      </c>
      <c r="K149" s="27">
        <v>407.3</v>
      </c>
      <c r="L149" s="27"/>
    </row>
    <row r="150" spans="1:12" ht="20.100000000000001" customHeight="1" outlineLevel="1" x14ac:dyDescent="0.2">
      <c r="A150" s="26" t="s">
        <v>328</v>
      </c>
      <c r="B150" s="30">
        <v>521</v>
      </c>
      <c r="C150" s="30" t="str">
        <f t="shared" si="22"/>
        <v>3</v>
      </c>
      <c r="D150" s="30" t="str">
        <f t="shared" si="23"/>
        <v>32</v>
      </c>
      <c r="E150" s="26" t="str">
        <f t="shared" si="18"/>
        <v>329</v>
      </c>
      <c r="F150" s="26" t="s">
        <v>154</v>
      </c>
      <c r="G150" s="26" t="s">
        <v>156</v>
      </c>
      <c r="H150" s="27"/>
      <c r="I150" s="27">
        <v>3300</v>
      </c>
      <c r="J150" s="27">
        <f t="shared" si="24"/>
        <v>1635.18</v>
      </c>
      <c r="K150" s="27">
        <v>1610.18</v>
      </c>
      <c r="L150" s="27">
        <v>25</v>
      </c>
    </row>
    <row r="151" spans="1:12" ht="20.100000000000001" customHeight="1" outlineLevel="1" x14ac:dyDescent="0.2">
      <c r="A151" s="26" t="s">
        <v>328</v>
      </c>
      <c r="B151" s="30">
        <v>521</v>
      </c>
      <c r="C151" s="30" t="str">
        <f t="shared" si="22"/>
        <v>3</v>
      </c>
      <c r="D151" s="30" t="str">
        <f t="shared" si="23"/>
        <v>32</v>
      </c>
      <c r="E151" s="26" t="str">
        <f t="shared" si="18"/>
        <v>329</v>
      </c>
      <c r="F151" s="26" t="s">
        <v>113</v>
      </c>
      <c r="G151" s="26" t="s">
        <v>115</v>
      </c>
      <c r="H151" s="27"/>
      <c r="I151" s="27">
        <v>2000</v>
      </c>
      <c r="J151" s="27">
        <f t="shared" si="24"/>
        <v>2000</v>
      </c>
      <c r="K151" s="27">
        <v>2000</v>
      </c>
      <c r="L151" s="27"/>
    </row>
    <row r="152" spans="1:12" ht="20.100000000000001" customHeight="1" outlineLevel="1" x14ac:dyDescent="0.2">
      <c r="A152" s="26" t="s">
        <v>328</v>
      </c>
      <c r="B152" s="30">
        <v>521</v>
      </c>
      <c r="C152" s="30" t="str">
        <f t="shared" si="22"/>
        <v>3</v>
      </c>
      <c r="D152" s="30" t="str">
        <f t="shared" si="23"/>
        <v>32</v>
      </c>
      <c r="E152" s="26" t="str">
        <f t="shared" si="18"/>
        <v>329</v>
      </c>
      <c r="F152" s="26" t="s">
        <v>159</v>
      </c>
      <c r="G152" s="26" t="s">
        <v>161</v>
      </c>
      <c r="H152" s="27"/>
      <c r="I152" s="27">
        <v>0</v>
      </c>
      <c r="J152" s="27">
        <f t="shared" si="24"/>
        <v>0</v>
      </c>
      <c r="K152" s="27"/>
      <c r="L152" s="27"/>
    </row>
    <row r="153" spans="1:12" ht="24.95" customHeight="1" x14ac:dyDescent="0.2">
      <c r="F153" s="230" t="s">
        <v>34</v>
      </c>
      <c r="G153" s="230"/>
      <c r="H153" s="79">
        <f t="shared" ref="H153:L153" si="25">SUMIFS(H154:H320,$A154:$A320,"A212402",$B154:$B320,"541")</f>
        <v>0</v>
      </c>
      <c r="I153" s="79">
        <f t="shared" si="25"/>
        <v>2900</v>
      </c>
      <c r="J153" s="79">
        <f t="shared" si="25"/>
        <v>2163.17</v>
      </c>
      <c r="K153" s="25">
        <f t="shared" si="25"/>
        <v>1139.42</v>
      </c>
      <c r="L153" s="25">
        <f t="shared" si="25"/>
        <v>1023.75</v>
      </c>
    </row>
    <row r="154" spans="1:12" ht="20.100000000000001" customHeight="1" outlineLevel="1" x14ac:dyDescent="0.2">
      <c r="A154" s="26" t="s">
        <v>328</v>
      </c>
      <c r="B154" s="30">
        <v>541</v>
      </c>
      <c r="C154" s="30" t="str">
        <f t="shared" ref="C154:C160" si="26">LEFT(F154,1)</f>
        <v>3</v>
      </c>
      <c r="D154" s="30" t="str">
        <f t="shared" ref="D154:D160" si="27">LEFT(F154,2)</f>
        <v>32</v>
      </c>
      <c r="E154" s="26" t="str">
        <f t="shared" si="18"/>
        <v>322</v>
      </c>
      <c r="F154" s="26" t="s">
        <v>72</v>
      </c>
      <c r="G154" s="26" t="s">
        <v>74</v>
      </c>
      <c r="H154" s="27"/>
      <c r="I154" s="27">
        <v>100</v>
      </c>
      <c r="J154" s="27">
        <f t="shared" ref="J154:J160" si="28">K154+L154</f>
        <v>10.5</v>
      </c>
      <c r="K154" s="27">
        <v>10.5</v>
      </c>
      <c r="L154" s="27"/>
    </row>
    <row r="155" spans="1:12" ht="20.100000000000001" customHeight="1" outlineLevel="1" x14ac:dyDescent="0.2">
      <c r="A155" s="26" t="s">
        <v>328</v>
      </c>
      <c r="B155" s="30">
        <v>541</v>
      </c>
      <c r="C155" s="30" t="str">
        <f t="shared" si="26"/>
        <v>3</v>
      </c>
      <c r="D155" s="30" t="str">
        <f t="shared" si="27"/>
        <v>32</v>
      </c>
      <c r="E155" s="26" t="str">
        <f t="shared" si="18"/>
        <v>322</v>
      </c>
      <c r="F155" s="26" t="s">
        <v>75</v>
      </c>
      <c r="G155" s="26" t="s">
        <v>77</v>
      </c>
      <c r="H155" s="27"/>
      <c r="I155" s="27">
        <v>400</v>
      </c>
      <c r="J155" s="27">
        <f t="shared" si="28"/>
        <v>7.98</v>
      </c>
      <c r="K155" s="27">
        <v>7.98</v>
      </c>
      <c r="L155" s="27"/>
    </row>
    <row r="156" spans="1:12" ht="20.100000000000001" customHeight="1" outlineLevel="1" x14ac:dyDescent="0.2">
      <c r="A156" s="26" t="s">
        <v>328</v>
      </c>
      <c r="B156" s="30">
        <v>541</v>
      </c>
      <c r="C156" s="30" t="str">
        <f t="shared" si="26"/>
        <v>3</v>
      </c>
      <c r="D156" s="30" t="str">
        <f t="shared" si="27"/>
        <v>32</v>
      </c>
      <c r="E156" s="26" t="str">
        <f t="shared" si="18"/>
        <v>322</v>
      </c>
      <c r="F156" s="26" t="s">
        <v>81</v>
      </c>
      <c r="G156" s="26" t="s">
        <v>83</v>
      </c>
      <c r="H156" s="27"/>
      <c r="I156" s="27">
        <v>100</v>
      </c>
      <c r="J156" s="27">
        <f t="shared" si="28"/>
        <v>0</v>
      </c>
      <c r="K156" s="27"/>
      <c r="L156" s="27"/>
    </row>
    <row r="157" spans="1:12" ht="20.100000000000001" customHeight="1" outlineLevel="1" x14ac:dyDescent="0.2">
      <c r="A157" s="26" t="s">
        <v>328</v>
      </c>
      <c r="B157" s="30">
        <v>541</v>
      </c>
      <c r="C157" s="30" t="str">
        <f>LEFT(F157,1)</f>
        <v>3</v>
      </c>
      <c r="D157" s="30" t="str">
        <f>LEFT(F157,2)</f>
        <v>32</v>
      </c>
      <c r="E157" s="26" t="str">
        <f>LEFT(F157,3)</f>
        <v>322</v>
      </c>
      <c r="F157" s="65">
        <v>3225</v>
      </c>
      <c r="G157" s="26" t="s">
        <v>355</v>
      </c>
      <c r="H157" s="27"/>
      <c r="I157" s="27"/>
      <c r="J157" s="27">
        <f t="shared" si="28"/>
        <v>46.55</v>
      </c>
      <c r="K157" s="27">
        <v>46.55</v>
      </c>
      <c r="L157" s="27"/>
    </row>
    <row r="158" spans="1:12" ht="20.100000000000001" customHeight="1" outlineLevel="1" x14ac:dyDescent="0.2">
      <c r="A158" s="26" t="s">
        <v>328</v>
      </c>
      <c r="B158" s="30">
        <v>541</v>
      </c>
      <c r="C158" s="30" t="str">
        <f t="shared" si="26"/>
        <v>3</v>
      </c>
      <c r="D158" s="30" t="str">
        <f t="shared" si="27"/>
        <v>32</v>
      </c>
      <c r="E158" s="26" t="str">
        <f t="shared" si="18"/>
        <v>323</v>
      </c>
      <c r="F158" s="26" t="s">
        <v>91</v>
      </c>
      <c r="G158" s="26" t="s">
        <v>93</v>
      </c>
      <c r="H158" s="27"/>
      <c r="I158" s="27">
        <v>800</v>
      </c>
      <c r="J158" s="27">
        <f t="shared" si="28"/>
        <v>1023.75</v>
      </c>
      <c r="K158" s="27"/>
      <c r="L158" s="27">
        <v>1023.75</v>
      </c>
    </row>
    <row r="159" spans="1:12" ht="20.100000000000001" customHeight="1" outlineLevel="1" x14ac:dyDescent="0.2">
      <c r="A159" s="26" t="s">
        <v>328</v>
      </c>
      <c r="B159" s="30">
        <v>541</v>
      </c>
      <c r="C159" s="30" t="str">
        <f t="shared" si="26"/>
        <v>3</v>
      </c>
      <c r="D159" s="30" t="str">
        <f t="shared" si="27"/>
        <v>32</v>
      </c>
      <c r="E159" s="26" t="str">
        <f t="shared" si="18"/>
        <v>323</v>
      </c>
      <c r="F159" s="26" t="s">
        <v>41</v>
      </c>
      <c r="G159" s="26" t="s">
        <v>43</v>
      </c>
      <c r="H159" s="27"/>
      <c r="I159" s="27">
        <v>1100</v>
      </c>
      <c r="J159" s="27">
        <f t="shared" si="28"/>
        <v>730.64</v>
      </c>
      <c r="K159" s="27">
        <v>730.64</v>
      </c>
      <c r="L159" s="27"/>
    </row>
    <row r="160" spans="1:12" ht="20.100000000000001" customHeight="1" outlineLevel="1" thickBot="1" x14ac:dyDescent="0.25">
      <c r="A160" s="26" t="s">
        <v>328</v>
      </c>
      <c r="B160" s="30">
        <v>541</v>
      </c>
      <c r="C160" s="30" t="str">
        <f t="shared" si="26"/>
        <v>3</v>
      </c>
      <c r="D160" s="30" t="str">
        <f t="shared" si="27"/>
        <v>32</v>
      </c>
      <c r="E160" s="26" t="str">
        <f t="shared" si="18"/>
        <v>323</v>
      </c>
      <c r="F160" s="26" t="s">
        <v>126</v>
      </c>
      <c r="G160" s="26" t="s">
        <v>128</v>
      </c>
      <c r="H160" s="27"/>
      <c r="I160" s="27">
        <v>400</v>
      </c>
      <c r="J160" s="27">
        <f t="shared" si="28"/>
        <v>343.75</v>
      </c>
      <c r="K160" s="27">
        <v>343.75</v>
      </c>
      <c r="L160" s="27"/>
    </row>
    <row r="161" spans="1:10" ht="35.1" customHeight="1" thickBot="1" x14ac:dyDescent="0.25">
      <c r="F161" s="225" t="s">
        <v>256</v>
      </c>
      <c r="G161" s="225"/>
      <c r="H161" s="82">
        <f>SUM(H162:H162)</f>
        <v>0</v>
      </c>
      <c r="I161" s="82">
        <f>SUM(I162:I162)</f>
        <v>0</v>
      </c>
      <c r="J161" s="82">
        <f t="shared" ref="J161" si="29">SUM(J162:J162)</f>
        <v>0</v>
      </c>
    </row>
    <row r="162" spans="1:10" ht="24.95" customHeight="1" x14ac:dyDescent="0.2">
      <c r="F162" s="230" t="s">
        <v>56</v>
      </c>
      <c r="G162" s="230"/>
      <c r="H162" s="79">
        <f>SUMIFS(H163:H328,$A163:$A328,"A212403",$B163:$B328,"112")</f>
        <v>0</v>
      </c>
      <c r="I162" s="79">
        <f>SUMIFS(I163:I328,$A163:$A328,"A212403",$B163:$B328,"112")</f>
        <v>0</v>
      </c>
      <c r="J162" s="79">
        <v>0</v>
      </c>
    </row>
    <row r="163" spans="1:10" ht="20.100000000000001" customHeight="1" outlineLevel="1" thickBot="1" x14ac:dyDescent="0.25">
      <c r="A163" s="26" t="s">
        <v>329</v>
      </c>
      <c r="B163" s="30">
        <v>112</v>
      </c>
      <c r="C163" s="30" t="str">
        <f>LEFT(F163,1)</f>
        <v>3</v>
      </c>
      <c r="D163" s="30" t="str">
        <f>LEFT(F163,2)</f>
        <v>32</v>
      </c>
      <c r="E163" s="26" t="str">
        <f>LEFT(F163,3)</f>
        <v>321</v>
      </c>
      <c r="F163" s="26" t="s">
        <v>130</v>
      </c>
      <c r="G163" s="26" t="s">
        <v>132</v>
      </c>
      <c r="H163" s="27"/>
      <c r="I163" s="27">
        <v>0</v>
      </c>
      <c r="J163" s="27"/>
    </row>
    <row r="164" spans="1:10" ht="35.1" customHeight="1" thickBot="1" x14ac:dyDescent="0.25">
      <c r="F164" s="225" t="s">
        <v>258</v>
      </c>
      <c r="G164" s="225"/>
      <c r="H164" s="82">
        <f>SUM(H165:H165)</f>
        <v>0</v>
      </c>
      <c r="I164" s="82">
        <f>SUM(I165:I165)</f>
        <v>185500</v>
      </c>
      <c r="J164" s="82">
        <f t="shared" ref="J164" si="30">SUM(J165:J165)</f>
        <v>185500</v>
      </c>
    </row>
    <row r="165" spans="1:10" ht="24.95" customHeight="1" x14ac:dyDescent="0.2">
      <c r="F165" s="230" t="s">
        <v>56</v>
      </c>
      <c r="G165" s="230"/>
      <c r="H165" s="79">
        <f>SUMIFS(H166:H331,$A166:$A331,"A212404",$B166:$B331,"112")</f>
        <v>0</v>
      </c>
      <c r="I165" s="79">
        <f>SUMIFS(I166:I331,$A166:$A331,"A212404",$B166:$B331,"112")</f>
        <v>185500</v>
      </c>
      <c r="J165" s="79">
        <f>SUMIFS(J166:J331,$A166:$A331,"A212404",$B166:$B331,"112")</f>
        <v>185500</v>
      </c>
    </row>
    <row r="166" spans="1:10" ht="20.100000000000001" customHeight="1" outlineLevel="1" x14ac:dyDescent="0.2">
      <c r="A166" s="26" t="s">
        <v>330</v>
      </c>
      <c r="B166" s="30">
        <v>112</v>
      </c>
      <c r="C166" s="30" t="str">
        <f>LEFT(F166,1)</f>
        <v>3</v>
      </c>
      <c r="D166" s="30" t="str">
        <f>LEFT(F166,2)</f>
        <v>32</v>
      </c>
      <c r="E166" s="26" t="str">
        <f>LEFT(F166,3)</f>
        <v>323</v>
      </c>
      <c r="F166" s="26" t="s">
        <v>97</v>
      </c>
      <c r="G166" s="26" t="s">
        <v>99</v>
      </c>
      <c r="H166" s="27"/>
      <c r="I166" s="27">
        <v>0</v>
      </c>
      <c r="J166" s="27">
        <v>185500</v>
      </c>
    </row>
    <row r="167" spans="1:10" ht="20.100000000000001" customHeight="1" outlineLevel="1" thickBot="1" x14ac:dyDescent="0.25">
      <c r="A167" s="26" t="s">
        <v>330</v>
      </c>
      <c r="B167" s="30">
        <v>112</v>
      </c>
      <c r="C167" s="30" t="str">
        <f>LEFT(F167,1)</f>
        <v>3</v>
      </c>
      <c r="D167" s="30" t="str">
        <f>LEFT(F167,2)</f>
        <v>37</v>
      </c>
      <c r="E167" s="26" t="str">
        <f>LEFT(F167,3)</f>
        <v>372</v>
      </c>
      <c r="F167" s="26" t="s">
        <v>260</v>
      </c>
      <c r="G167" s="26" t="s">
        <v>262</v>
      </c>
      <c r="H167" s="27"/>
      <c r="I167" s="27">
        <v>185500</v>
      </c>
      <c r="J167" s="27"/>
    </row>
    <row r="168" spans="1:10" ht="35.1" customHeight="1" thickBot="1" x14ac:dyDescent="0.25">
      <c r="F168" s="225" t="s">
        <v>263</v>
      </c>
      <c r="G168" s="225"/>
      <c r="H168" s="82">
        <f>H169+H177+H186+H190+H193+H197+H200</f>
        <v>0</v>
      </c>
      <c r="I168" s="82">
        <f>I169+I177+I186+I190+I193+I197+I200</f>
        <v>2825300</v>
      </c>
      <c r="J168" s="82">
        <f>J169+J177+J186+J190+J193+J197+J200</f>
        <v>2252929.92</v>
      </c>
    </row>
    <row r="169" spans="1:10" ht="24.95" customHeight="1" x14ac:dyDescent="0.2">
      <c r="F169" s="230" t="s">
        <v>56</v>
      </c>
      <c r="G169" s="230"/>
      <c r="H169" s="79">
        <f>SUMIFS(H170:H335,$A170:$A335,"K212401",$B170:$B335,"112")</f>
        <v>0</v>
      </c>
      <c r="I169" s="79">
        <f>SUMIFS(I170:I335,$A170:$A335,"K212401",$B170:$B335,"112")</f>
        <v>2117200</v>
      </c>
      <c r="J169" s="79">
        <f>SUMIFS(J170:J335,$A170:$A335,"K212401",$B170:$B335,"112")</f>
        <v>1360493.2000000002</v>
      </c>
    </row>
    <row r="170" spans="1:10" ht="24.95" customHeight="1" outlineLevel="1" x14ac:dyDescent="0.2">
      <c r="A170" s="26" t="s">
        <v>331</v>
      </c>
      <c r="B170" s="30">
        <v>112</v>
      </c>
      <c r="C170" s="30" t="str">
        <f t="shared" ref="C170:C176" si="31">LEFT(F170,1)</f>
        <v>3</v>
      </c>
      <c r="D170" s="30" t="str">
        <f t="shared" ref="D170:D176" si="32">LEFT(F170,2)</f>
        <v>32</v>
      </c>
      <c r="E170" s="26" t="str">
        <f t="shared" ref="E170:E176" si="33">LEFT(F170,3)</f>
        <v>322</v>
      </c>
      <c r="F170" s="26" t="s">
        <v>75</v>
      </c>
      <c r="G170" s="26" t="s">
        <v>77</v>
      </c>
      <c r="H170" s="27"/>
      <c r="I170" s="27">
        <v>0</v>
      </c>
      <c r="J170" s="27"/>
    </row>
    <row r="171" spans="1:10" ht="24.95" customHeight="1" outlineLevel="1" x14ac:dyDescent="0.2">
      <c r="A171" s="26" t="s">
        <v>331</v>
      </c>
      <c r="B171" s="30">
        <v>112</v>
      </c>
      <c r="C171" s="30" t="str">
        <f t="shared" si="31"/>
        <v>3</v>
      </c>
      <c r="D171" s="30" t="str">
        <f t="shared" si="32"/>
        <v>32</v>
      </c>
      <c r="E171" s="26" t="str">
        <f t="shared" si="33"/>
        <v>323</v>
      </c>
      <c r="F171" s="26" t="s">
        <v>38</v>
      </c>
      <c r="G171" s="26" t="s">
        <v>40</v>
      </c>
      <c r="H171" s="27"/>
      <c r="I171" s="27">
        <v>0</v>
      </c>
      <c r="J171" s="27"/>
    </row>
    <row r="172" spans="1:10" ht="24.95" customHeight="1" outlineLevel="1" x14ac:dyDescent="0.2">
      <c r="A172" s="26" t="s">
        <v>331</v>
      </c>
      <c r="B172" s="30">
        <v>112</v>
      </c>
      <c r="C172" s="30" t="str">
        <f t="shared" si="31"/>
        <v>4</v>
      </c>
      <c r="D172" s="30" t="str">
        <f t="shared" si="32"/>
        <v>42</v>
      </c>
      <c r="E172" s="26" t="str">
        <f t="shared" si="33"/>
        <v>422</v>
      </c>
      <c r="F172" s="26" t="s">
        <v>27</v>
      </c>
      <c r="G172" s="26" t="s">
        <v>29</v>
      </c>
      <c r="H172" s="27"/>
      <c r="I172" s="27">
        <v>92800</v>
      </c>
      <c r="J172" s="27">
        <v>51118.87</v>
      </c>
    </row>
    <row r="173" spans="1:10" ht="24.95" customHeight="1" outlineLevel="1" x14ac:dyDescent="0.2">
      <c r="A173" s="26" t="s">
        <v>331</v>
      </c>
      <c r="B173" s="30">
        <v>112</v>
      </c>
      <c r="C173" s="30" t="str">
        <f t="shared" si="31"/>
        <v>4</v>
      </c>
      <c r="D173" s="30" t="str">
        <f t="shared" si="32"/>
        <v>42</v>
      </c>
      <c r="E173" s="26" t="str">
        <f t="shared" si="33"/>
        <v>422</v>
      </c>
      <c r="F173" s="26" t="s">
        <v>30</v>
      </c>
      <c r="G173" s="26" t="s">
        <v>32</v>
      </c>
      <c r="H173" s="27"/>
      <c r="I173" s="27">
        <v>0</v>
      </c>
      <c r="J173" s="27"/>
    </row>
    <row r="174" spans="1:10" ht="24.95" customHeight="1" outlineLevel="1" x14ac:dyDescent="0.2">
      <c r="A174" s="26" t="s">
        <v>331</v>
      </c>
      <c r="B174" s="30">
        <v>112</v>
      </c>
      <c r="C174" s="30" t="str">
        <f t="shared" si="31"/>
        <v>4</v>
      </c>
      <c r="D174" s="30" t="str">
        <f t="shared" si="32"/>
        <v>42</v>
      </c>
      <c r="E174" s="26" t="str">
        <f t="shared" si="33"/>
        <v>423</v>
      </c>
      <c r="F174" s="26" t="s">
        <v>14</v>
      </c>
      <c r="G174" s="26" t="s">
        <v>16</v>
      </c>
      <c r="H174" s="27"/>
      <c r="I174" s="27">
        <v>168000</v>
      </c>
      <c r="J174" s="27"/>
    </row>
    <row r="175" spans="1:10" ht="24.95" customHeight="1" outlineLevel="1" x14ac:dyDescent="0.2">
      <c r="A175" s="26" t="s">
        <v>331</v>
      </c>
      <c r="B175" s="30">
        <v>112</v>
      </c>
      <c r="C175" s="30" t="str">
        <f t="shared" si="31"/>
        <v>4</v>
      </c>
      <c r="D175" s="30" t="str">
        <f t="shared" si="32"/>
        <v>42</v>
      </c>
      <c r="E175" s="26" t="str">
        <f t="shared" si="33"/>
        <v>424</v>
      </c>
      <c r="F175" s="26" t="s">
        <v>17</v>
      </c>
      <c r="G175" s="26" t="s">
        <v>19</v>
      </c>
      <c r="H175" s="27"/>
      <c r="I175" s="27">
        <v>1426000</v>
      </c>
      <c r="J175" s="27">
        <v>1299981.3700000001</v>
      </c>
    </row>
    <row r="176" spans="1:10" ht="24.95" customHeight="1" outlineLevel="1" x14ac:dyDescent="0.2">
      <c r="A176" s="26" t="s">
        <v>331</v>
      </c>
      <c r="B176" s="30">
        <v>112</v>
      </c>
      <c r="C176" s="30" t="str">
        <f t="shared" si="31"/>
        <v>4</v>
      </c>
      <c r="D176" s="30" t="str">
        <f t="shared" si="32"/>
        <v>45</v>
      </c>
      <c r="E176" s="26" t="str">
        <f t="shared" si="33"/>
        <v>451</v>
      </c>
      <c r="F176" s="26" t="s">
        <v>23</v>
      </c>
      <c r="G176" s="26" t="s">
        <v>25</v>
      </c>
      <c r="H176" s="27"/>
      <c r="I176" s="27">
        <v>430400</v>
      </c>
      <c r="J176" s="27">
        <v>9392.9599999999991</v>
      </c>
    </row>
    <row r="177" spans="1:14" ht="24.95" customHeight="1" x14ac:dyDescent="0.2">
      <c r="F177" s="230" t="s">
        <v>129</v>
      </c>
      <c r="G177" s="230"/>
      <c r="H177" s="79">
        <f>SUMIFS(H178:H343,$A178:$A343,"K212401",$B178:$B343,"431")</f>
        <v>0</v>
      </c>
      <c r="I177" s="79">
        <f>SUMIFS(I178:I343,$A178:$A343,"K212401",$B178:$B343,"431")</f>
        <v>57500</v>
      </c>
      <c r="J177" s="79">
        <f>SUMIFS(J178:J343,$A178:$A343,"K212401",$B178:$B343,"431")</f>
        <v>94349.21</v>
      </c>
    </row>
    <row r="178" spans="1:14" ht="24.95" customHeight="1" outlineLevel="1" x14ac:dyDescent="0.2">
      <c r="A178" s="26" t="s">
        <v>331</v>
      </c>
      <c r="B178" s="30">
        <v>431</v>
      </c>
      <c r="C178" s="30" t="str">
        <f t="shared" ref="C178:C185" si="34">LEFT(F178,1)</f>
        <v>4</v>
      </c>
      <c r="D178" s="30" t="str">
        <f t="shared" ref="D178:D185" si="35">LEFT(F178,2)</f>
        <v>42</v>
      </c>
      <c r="E178" s="26" t="str">
        <f t="shared" ref="E178:E201" si="36">LEFT(F178,3)</f>
        <v>422</v>
      </c>
      <c r="F178" s="26" t="s">
        <v>27</v>
      </c>
      <c r="G178" s="26" t="s">
        <v>29</v>
      </c>
      <c r="H178" s="27"/>
      <c r="I178" s="27">
        <v>36500</v>
      </c>
      <c r="J178" s="27">
        <v>75175.37</v>
      </c>
    </row>
    <row r="179" spans="1:14" ht="24.95" customHeight="1" outlineLevel="1" x14ac:dyDescent="0.2">
      <c r="A179" s="26" t="s">
        <v>331</v>
      </c>
      <c r="B179" s="30">
        <v>431</v>
      </c>
      <c r="C179" s="30" t="str">
        <f t="shared" si="34"/>
        <v>4</v>
      </c>
      <c r="D179" s="30" t="str">
        <f t="shared" si="35"/>
        <v>42</v>
      </c>
      <c r="E179" s="26" t="str">
        <f t="shared" si="36"/>
        <v>422</v>
      </c>
      <c r="F179" s="26" t="s">
        <v>272</v>
      </c>
      <c r="G179" s="26" t="s">
        <v>274</v>
      </c>
      <c r="H179" s="27"/>
      <c r="I179" s="27">
        <v>0</v>
      </c>
      <c r="J179" s="27"/>
    </row>
    <row r="180" spans="1:14" ht="24.95" customHeight="1" outlineLevel="1" x14ac:dyDescent="0.2">
      <c r="A180" s="26" t="s">
        <v>331</v>
      </c>
      <c r="B180" s="30">
        <v>431</v>
      </c>
      <c r="C180" s="30" t="str">
        <f t="shared" si="34"/>
        <v>4</v>
      </c>
      <c r="D180" s="30" t="str">
        <f t="shared" si="35"/>
        <v>42</v>
      </c>
      <c r="E180" s="26" t="str">
        <f t="shared" si="36"/>
        <v>422</v>
      </c>
      <c r="F180" s="26" t="s">
        <v>30</v>
      </c>
      <c r="G180" s="26" t="s">
        <v>32</v>
      </c>
      <c r="H180" s="27"/>
      <c r="I180" s="27">
        <v>15000</v>
      </c>
      <c r="J180" s="27">
        <v>14600.54</v>
      </c>
    </row>
    <row r="181" spans="1:14" ht="24.95" customHeight="1" outlineLevel="1" x14ac:dyDescent="0.2">
      <c r="A181" s="26" t="s">
        <v>331</v>
      </c>
      <c r="B181" s="30">
        <v>431</v>
      </c>
      <c r="C181" s="30" t="str">
        <f t="shared" si="34"/>
        <v>4</v>
      </c>
      <c r="D181" s="30" t="str">
        <f t="shared" si="35"/>
        <v>42</v>
      </c>
      <c r="E181" s="26" t="str">
        <f t="shared" si="36"/>
        <v>422</v>
      </c>
      <c r="F181" s="26" t="s">
        <v>276</v>
      </c>
      <c r="G181" s="26" t="s">
        <v>278</v>
      </c>
      <c r="H181" s="27"/>
      <c r="I181" s="27">
        <v>0</v>
      </c>
      <c r="J181" s="27"/>
    </row>
    <row r="182" spans="1:14" outlineLevel="1" x14ac:dyDescent="0.2">
      <c r="A182" s="26" t="s">
        <v>331</v>
      </c>
      <c r="B182" s="30">
        <v>431</v>
      </c>
      <c r="C182" s="30" t="str">
        <f t="shared" si="34"/>
        <v>4</v>
      </c>
      <c r="D182" s="30" t="str">
        <f t="shared" si="35"/>
        <v>42</v>
      </c>
      <c r="E182" s="26" t="str">
        <f t="shared" si="36"/>
        <v>423</v>
      </c>
      <c r="F182" s="4" t="s">
        <v>14</v>
      </c>
      <c r="G182" s="4" t="s">
        <v>16</v>
      </c>
      <c r="H182" s="5"/>
      <c r="I182" s="5">
        <v>1500</v>
      </c>
      <c r="J182" s="27">
        <v>1500</v>
      </c>
    </row>
    <row r="183" spans="1:14" outlineLevel="1" x14ac:dyDescent="0.2">
      <c r="A183" s="26" t="s">
        <v>331</v>
      </c>
      <c r="B183" s="30">
        <v>431</v>
      </c>
      <c r="C183" s="30" t="str">
        <f t="shared" si="34"/>
        <v>4</v>
      </c>
      <c r="D183" s="30" t="str">
        <f t="shared" si="35"/>
        <v>42</v>
      </c>
      <c r="E183" s="26" t="str">
        <f t="shared" si="36"/>
        <v>424</v>
      </c>
      <c r="F183" s="4" t="s">
        <v>17</v>
      </c>
      <c r="G183" s="4" t="s">
        <v>19</v>
      </c>
      <c r="H183" s="5"/>
      <c r="I183" s="5">
        <v>0</v>
      </c>
      <c r="J183" s="27">
        <v>10.3</v>
      </c>
    </row>
    <row r="184" spans="1:14" outlineLevel="1" x14ac:dyDescent="0.2">
      <c r="A184" s="26" t="s">
        <v>331</v>
      </c>
      <c r="B184" s="30">
        <v>431</v>
      </c>
      <c r="C184" s="30" t="str">
        <f t="shared" si="34"/>
        <v>4</v>
      </c>
      <c r="D184" s="30" t="str">
        <f t="shared" si="35"/>
        <v>42</v>
      </c>
      <c r="E184" s="26" t="str">
        <f t="shared" si="36"/>
        <v>426</v>
      </c>
      <c r="F184" s="4" t="s">
        <v>20</v>
      </c>
      <c r="G184" s="4" t="s">
        <v>22</v>
      </c>
      <c r="H184" s="5"/>
      <c r="I184" s="5">
        <v>4500</v>
      </c>
      <c r="J184" s="27">
        <v>3063</v>
      </c>
    </row>
    <row r="185" spans="1:14" outlineLevel="1" x14ac:dyDescent="0.2">
      <c r="A185" s="26" t="s">
        <v>331</v>
      </c>
      <c r="B185" s="30">
        <v>431</v>
      </c>
      <c r="C185" s="30" t="str">
        <f t="shared" si="34"/>
        <v>4</v>
      </c>
      <c r="D185" s="30" t="str">
        <f t="shared" si="35"/>
        <v>45</v>
      </c>
      <c r="E185" s="26" t="str">
        <f t="shared" si="36"/>
        <v>451</v>
      </c>
      <c r="F185" s="4" t="s">
        <v>23</v>
      </c>
      <c r="G185" s="4" t="s">
        <v>25</v>
      </c>
      <c r="H185" s="5"/>
      <c r="I185" s="5">
        <v>0</v>
      </c>
      <c r="J185" s="27"/>
      <c r="K185" s="38" t="s">
        <v>347</v>
      </c>
      <c r="L185" s="38" t="s">
        <v>351</v>
      </c>
      <c r="M185" s="38" t="s">
        <v>348</v>
      </c>
      <c r="N185" s="38" t="s">
        <v>349</v>
      </c>
    </row>
    <row r="186" spans="1:14" ht="24.95" customHeight="1" x14ac:dyDescent="0.2">
      <c r="F186" s="230" t="s">
        <v>26</v>
      </c>
      <c r="G186" s="230"/>
      <c r="H186" s="79">
        <f>SUMIFS(H187:H353,$A187:$A353,"K212401",$B187:$B353,"521")</f>
        <v>0</v>
      </c>
      <c r="I186" s="79">
        <f>SUMIFS(I187:I353,$A187:$A353,"K212401",$B187:$B353,"521")</f>
        <v>548500</v>
      </c>
      <c r="J186" s="79">
        <f t="shared" ref="J186" si="37">SUMIFS(J187:J353,$A187:$A353,"K212401",$B187:$B353,"521")</f>
        <v>701678.55</v>
      </c>
      <c r="K186" s="25">
        <f>SUMIFS(K187:K353,$A187:$A353,"K212401",$B187:$B353,"521")</f>
        <v>342764.86</v>
      </c>
      <c r="L186" s="25">
        <f>SUMIFS(L187:L353,$A187:$A353,"K212401",$B187:$B353,"521")</f>
        <v>319999.93</v>
      </c>
      <c r="M186" s="25">
        <f>SUMIFS(M187:M353,$A187:$A353,"K212401",$B187:$B353,"521")</f>
        <v>25990.7</v>
      </c>
      <c r="N186" s="25">
        <f>SUMIFS(N187:N353,$A187:$A353,"K212401",$B187:$B353,"521")</f>
        <v>12923.06</v>
      </c>
    </row>
    <row r="187" spans="1:14" outlineLevel="1" x14ac:dyDescent="0.2">
      <c r="A187" s="26" t="s">
        <v>331</v>
      </c>
      <c r="B187" s="30">
        <v>521</v>
      </c>
      <c r="C187" s="30" t="str">
        <f>LEFT(F187,1)</f>
        <v>4</v>
      </c>
      <c r="D187" s="30" t="str">
        <f>LEFT(F187,2)</f>
        <v>42</v>
      </c>
      <c r="E187" s="26" t="str">
        <f t="shared" si="36"/>
        <v>422</v>
      </c>
      <c r="F187" s="4" t="s">
        <v>27</v>
      </c>
      <c r="G187" s="4" t="s">
        <v>29</v>
      </c>
      <c r="H187" s="5"/>
      <c r="I187" s="5">
        <v>0</v>
      </c>
      <c r="J187" s="27">
        <f>K187+L187+M187+N187</f>
        <v>221.98</v>
      </c>
      <c r="K187" s="27">
        <v>221.98</v>
      </c>
      <c r="L187" s="27"/>
      <c r="M187" s="27"/>
      <c r="N187" s="27"/>
    </row>
    <row r="188" spans="1:14" outlineLevel="1" x14ac:dyDescent="0.2">
      <c r="A188" s="26" t="s">
        <v>331</v>
      </c>
      <c r="B188" s="30">
        <v>521</v>
      </c>
      <c r="C188" s="30" t="str">
        <f>LEFT(F188,1)</f>
        <v>4</v>
      </c>
      <c r="D188" s="30" t="str">
        <f>LEFT(F188,2)</f>
        <v>42</v>
      </c>
      <c r="E188" s="26" t="str">
        <f t="shared" si="36"/>
        <v>422</v>
      </c>
      <c r="F188" s="4" t="s">
        <v>30</v>
      </c>
      <c r="G188" s="4" t="s">
        <v>32</v>
      </c>
      <c r="H188" s="5"/>
      <c r="I188" s="5">
        <v>0</v>
      </c>
      <c r="J188" s="27">
        <f>K188+L188+M188+N188</f>
        <v>0</v>
      </c>
      <c r="K188" s="27"/>
      <c r="L188" s="27"/>
      <c r="M188" s="27"/>
      <c r="N188" s="27"/>
    </row>
    <row r="189" spans="1:14" outlineLevel="1" x14ac:dyDescent="0.2">
      <c r="A189" s="26" t="s">
        <v>331</v>
      </c>
      <c r="B189" s="30">
        <v>521</v>
      </c>
      <c r="C189" s="30" t="str">
        <f>LEFT(F189,1)</f>
        <v>4</v>
      </c>
      <c r="D189" s="30" t="str">
        <f>LEFT(F189,2)</f>
        <v>42</v>
      </c>
      <c r="E189" s="26" t="str">
        <f t="shared" si="36"/>
        <v>424</v>
      </c>
      <c r="F189" s="4" t="s">
        <v>17</v>
      </c>
      <c r="G189" s="4" t="s">
        <v>19</v>
      </c>
      <c r="H189" s="5"/>
      <c r="I189" s="5">
        <v>548500</v>
      </c>
      <c r="J189" s="27">
        <f>K189+L189+M189+N189</f>
        <v>701456.57000000007</v>
      </c>
      <c r="K189" s="27">
        <v>342542.88</v>
      </c>
      <c r="L189" s="27">
        <v>319999.93</v>
      </c>
      <c r="M189" s="27">
        <v>25990.7</v>
      </c>
      <c r="N189" s="27">
        <v>12923.06</v>
      </c>
    </row>
    <row r="190" spans="1:14" ht="24.95" customHeight="1" x14ac:dyDescent="0.2">
      <c r="F190" s="230" t="s">
        <v>34</v>
      </c>
      <c r="G190" s="230"/>
      <c r="H190" s="79">
        <f>SUMIFS(H191:H357,$A191:$A357,"K212401",$B191:$B357,"541")</f>
        <v>0</v>
      </c>
      <c r="I190" s="79">
        <f>SUMIFS(I191:I357,$A191:$A357,"K212401",$B191:$B357,"541")</f>
        <v>800</v>
      </c>
      <c r="J190" s="79">
        <f t="shared" ref="J190" si="38">SUMIFS(J191:J357,$A191:$A357,"K212401",$B191:$B357,"541")</f>
        <v>2367.77</v>
      </c>
    </row>
    <row r="191" spans="1:14" outlineLevel="1" x14ac:dyDescent="0.2">
      <c r="A191" s="26" t="s">
        <v>331</v>
      </c>
      <c r="B191" s="30">
        <v>541</v>
      </c>
      <c r="C191" s="30" t="str">
        <f>LEFT(F191,1)</f>
        <v>4</v>
      </c>
      <c r="D191" s="30" t="str">
        <f>LEFT(F191,2)</f>
        <v>42</v>
      </c>
      <c r="E191" s="26" t="str">
        <f t="shared" si="36"/>
        <v>422</v>
      </c>
      <c r="F191" s="4" t="s">
        <v>27</v>
      </c>
      <c r="G191" s="4" t="s">
        <v>29</v>
      </c>
      <c r="H191" s="5"/>
      <c r="I191" s="5">
        <v>800</v>
      </c>
      <c r="J191" s="27">
        <v>2221.79</v>
      </c>
    </row>
    <row r="192" spans="1:14" outlineLevel="1" x14ac:dyDescent="0.2">
      <c r="A192" s="26" t="s">
        <v>331</v>
      </c>
      <c r="B192" s="30">
        <v>541</v>
      </c>
      <c r="C192" s="30" t="str">
        <f>LEFT(F192,1)</f>
        <v>4</v>
      </c>
      <c r="D192" s="30" t="str">
        <f>LEFT(F192,2)</f>
        <v>42</v>
      </c>
      <c r="E192" s="26" t="str">
        <f t="shared" si="36"/>
        <v>424</v>
      </c>
      <c r="F192" s="4" t="s">
        <v>17</v>
      </c>
      <c r="G192" s="4" t="s">
        <v>19</v>
      </c>
      <c r="H192" s="5"/>
      <c r="I192" s="5">
        <v>0</v>
      </c>
      <c r="J192" s="27">
        <v>145.97999999999999</v>
      </c>
    </row>
    <row r="193" spans="1:12" ht="24.95" customHeight="1" x14ac:dyDescent="0.2">
      <c r="F193" s="230" t="s">
        <v>37</v>
      </c>
      <c r="G193" s="230"/>
      <c r="H193" s="79">
        <f>SUMIFS(H194:H360,$A194:$A360,"K212401",$B194:$B360,"571")</f>
        <v>0</v>
      </c>
      <c r="I193" s="79">
        <f>SUMIFS(I194:I360,$A194:$A360,"K212401",$B194:$B360,"571")</f>
        <v>0</v>
      </c>
      <c r="J193" s="79">
        <f t="shared" ref="J193" si="39">SUMIFS(J194:J360,$A194:$A360,"K212401",$B194:$B360,"571")</f>
        <v>0</v>
      </c>
    </row>
    <row r="194" spans="1:12" outlineLevel="1" x14ac:dyDescent="0.2">
      <c r="A194" s="26" t="s">
        <v>331</v>
      </c>
      <c r="B194" s="30">
        <v>571</v>
      </c>
      <c r="C194" s="30" t="str">
        <f>LEFT(F194,1)</f>
        <v>3</v>
      </c>
      <c r="D194" s="30" t="str">
        <f>LEFT(F194,2)</f>
        <v>32</v>
      </c>
      <c r="E194" s="26" t="str">
        <f t="shared" si="36"/>
        <v>323</v>
      </c>
      <c r="F194" s="4" t="s">
        <v>38</v>
      </c>
      <c r="G194" s="4" t="s">
        <v>40</v>
      </c>
      <c r="H194" s="5"/>
      <c r="I194" s="5">
        <v>0</v>
      </c>
      <c r="J194" s="27"/>
    </row>
    <row r="195" spans="1:12" outlineLevel="1" x14ac:dyDescent="0.2">
      <c r="A195" s="26" t="s">
        <v>331</v>
      </c>
      <c r="B195" s="30">
        <v>571</v>
      </c>
      <c r="C195" s="30" t="str">
        <f>LEFT(F195,1)</f>
        <v>3</v>
      </c>
      <c r="D195" s="30" t="str">
        <f>LEFT(F195,2)</f>
        <v>32</v>
      </c>
      <c r="E195" s="26" t="str">
        <f t="shared" si="36"/>
        <v>323</v>
      </c>
      <c r="F195" s="4" t="s">
        <v>41</v>
      </c>
      <c r="G195" s="4" t="s">
        <v>43</v>
      </c>
      <c r="H195" s="5"/>
      <c r="I195" s="5">
        <v>0</v>
      </c>
      <c r="J195" s="27"/>
    </row>
    <row r="196" spans="1:12" outlineLevel="1" x14ac:dyDescent="0.2">
      <c r="A196" s="26" t="s">
        <v>331</v>
      </c>
      <c r="B196" s="30">
        <v>571</v>
      </c>
      <c r="C196" s="30" t="str">
        <f>LEFT(F196,1)</f>
        <v>4</v>
      </c>
      <c r="D196" s="30" t="str">
        <f>LEFT(F196,2)</f>
        <v>45</v>
      </c>
      <c r="E196" s="26" t="str">
        <f t="shared" si="36"/>
        <v>451</v>
      </c>
      <c r="F196" s="4" t="s">
        <v>23</v>
      </c>
      <c r="G196" s="4" t="s">
        <v>25</v>
      </c>
      <c r="H196" s="5"/>
      <c r="I196" s="5">
        <v>0</v>
      </c>
      <c r="J196" s="27"/>
      <c r="K196" s="55" t="s">
        <v>352</v>
      </c>
      <c r="L196" s="55">
        <v>614</v>
      </c>
    </row>
    <row r="197" spans="1:12" ht="24.95" customHeight="1" x14ac:dyDescent="0.2">
      <c r="F197" s="230" t="s">
        <v>45</v>
      </c>
      <c r="G197" s="230"/>
      <c r="H197" s="79">
        <f>SUMIFS(H198:H364,$A198:$A364,"K212401",$B198:$B364,"611")</f>
        <v>0</v>
      </c>
      <c r="I197" s="79">
        <f>SUMIFS(I198:I364,$A198:$A364,"K212401",$B198:$B364,"611")</f>
        <v>100000</v>
      </c>
      <c r="J197" s="79">
        <f t="shared" ref="J197" si="40">SUMIFS(J198:J364,$A198:$A364,"K212401",$B198:$B364,"611")</f>
        <v>94041.19</v>
      </c>
      <c r="K197" s="25">
        <f>SUMIFS(K198:K364,$A198:$A364,"K212401",$B198:$B364,"611")</f>
        <v>149</v>
      </c>
      <c r="L197" s="25">
        <f>SUMIFS(L198:L364,$A198:$A364,"K212401",$B198:$B364,"611")</f>
        <v>93892.19</v>
      </c>
    </row>
    <row r="198" spans="1:12" outlineLevel="1" x14ac:dyDescent="0.2">
      <c r="A198" s="26" t="s">
        <v>331</v>
      </c>
      <c r="B198" s="30">
        <v>611</v>
      </c>
      <c r="C198" s="30" t="str">
        <f>LEFT(F198,1)</f>
        <v>4</v>
      </c>
      <c r="D198" s="30" t="str">
        <f>LEFT(F198,2)</f>
        <v>42</v>
      </c>
      <c r="E198" s="26" t="str">
        <f t="shared" si="36"/>
        <v>422</v>
      </c>
      <c r="F198" s="4" t="s">
        <v>27</v>
      </c>
      <c r="G198" s="4" t="s">
        <v>29</v>
      </c>
      <c r="H198" s="5"/>
      <c r="I198" s="5">
        <v>0</v>
      </c>
      <c r="J198" s="27">
        <f>K198+L198</f>
        <v>0</v>
      </c>
      <c r="K198" s="27"/>
      <c r="L198" s="27"/>
    </row>
    <row r="199" spans="1:12" outlineLevel="1" x14ac:dyDescent="0.2">
      <c r="A199" s="26" t="s">
        <v>331</v>
      </c>
      <c r="B199" s="30">
        <v>611</v>
      </c>
      <c r="C199" s="30" t="str">
        <f>LEFT(F199,1)</f>
        <v>4</v>
      </c>
      <c r="D199" s="30" t="str">
        <f>LEFT(F199,2)</f>
        <v>42</v>
      </c>
      <c r="E199" s="26" t="str">
        <f t="shared" si="36"/>
        <v>424</v>
      </c>
      <c r="F199" s="4" t="s">
        <v>17</v>
      </c>
      <c r="G199" s="4" t="s">
        <v>19</v>
      </c>
      <c r="H199" s="5"/>
      <c r="I199" s="5">
        <v>100000</v>
      </c>
      <c r="J199" s="27">
        <f>K199+L199</f>
        <v>94041.19</v>
      </c>
      <c r="K199" s="27">
        <v>149</v>
      </c>
      <c r="L199" s="27">
        <v>93892.19</v>
      </c>
    </row>
    <row r="200" spans="1:12" ht="24.95" customHeight="1" x14ac:dyDescent="0.2">
      <c r="F200" s="230" t="s">
        <v>48</v>
      </c>
      <c r="G200" s="230"/>
      <c r="H200" s="79">
        <f>SUMIFS(H201:H367,$A201:$A367,"K212401",$B201:$B367,"711")</f>
        <v>0</v>
      </c>
      <c r="I200" s="79">
        <f>SUMIFS(I201:I367,$A201:$A367,"K212401",$B201:$B367,"711")</f>
        <v>1300</v>
      </c>
      <c r="J200" s="79">
        <f t="shared" ref="J200" si="41">SUMIFS(J201:J367,$A201:$A367,"K212401",$B201:$B367,"711")</f>
        <v>0</v>
      </c>
    </row>
    <row r="201" spans="1:12" ht="13.5" outlineLevel="1" thickBot="1" x14ac:dyDescent="0.25">
      <c r="A201" s="26" t="s">
        <v>331</v>
      </c>
      <c r="B201" s="30">
        <v>711</v>
      </c>
      <c r="C201" s="30" t="str">
        <f>LEFT(F201,1)</f>
        <v>4</v>
      </c>
      <c r="D201" s="30" t="str">
        <f>LEFT(F201,2)</f>
        <v>42</v>
      </c>
      <c r="E201" s="26" t="str">
        <f t="shared" si="36"/>
        <v>422</v>
      </c>
      <c r="F201" s="4" t="s">
        <v>27</v>
      </c>
      <c r="G201" s="4" t="s">
        <v>29</v>
      </c>
      <c r="H201" s="5"/>
      <c r="I201" s="5">
        <v>1300</v>
      </c>
      <c r="J201" s="27"/>
    </row>
    <row r="202" spans="1:12" ht="35.1" customHeight="1" thickBot="1" x14ac:dyDescent="0.25">
      <c r="F202" s="225" t="s">
        <v>344</v>
      </c>
      <c r="G202" s="225"/>
      <c r="H202" s="82"/>
      <c r="I202" s="82"/>
      <c r="J202" s="82"/>
    </row>
  </sheetData>
  <autoFilter ref="F10:J202"/>
  <mergeCells count="32">
    <mergeCell ref="F2:J2"/>
    <mergeCell ref="F1:I1"/>
    <mergeCell ref="H6:H7"/>
    <mergeCell ref="I6:I7"/>
    <mergeCell ref="J6:J7"/>
    <mergeCell ref="F6:G7"/>
    <mergeCell ref="F8:G8"/>
    <mergeCell ref="F9:G9"/>
    <mergeCell ref="F161:G161"/>
    <mergeCell ref="F35:G35"/>
    <mergeCell ref="F37:G37"/>
    <mergeCell ref="F64:G64"/>
    <mergeCell ref="F93:G93"/>
    <mergeCell ref="F99:G99"/>
    <mergeCell ref="F107:G107"/>
    <mergeCell ref="F109:G109"/>
    <mergeCell ref="F110:G110"/>
    <mergeCell ref="F122:G122"/>
    <mergeCell ref="F135:G135"/>
    <mergeCell ref="F153:G153"/>
    <mergeCell ref="F202:G202"/>
    <mergeCell ref="F162:G162"/>
    <mergeCell ref="F164:G164"/>
    <mergeCell ref="F165:G165"/>
    <mergeCell ref="F168:G168"/>
    <mergeCell ref="F169:G169"/>
    <mergeCell ref="F177:G177"/>
    <mergeCell ref="F186:G186"/>
    <mergeCell ref="F190:G190"/>
    <mergeCell ref="F193:G193"/>
    <mergeCell ref="F197:G197"/>
    <mergeCell ref="F200:G200"/>
  </mergeCells>
  <pageMargins left="0" right="0" top="0.59055118110236227" bottom="0.59055118110236227" header="0" footer="0"/>
  <pageSetup paperSize="9" orientation="portrait" r:id="rId1"/>
  <headerFooter alignWithMargins="0">
    <oddHeader>&amp;L&amp;"Arial,Bold"&amp;K04-023KNJIŽNICE GRADA ZAGREBA
STARČEVIĆEV TRG 6
OIB: 93571946376</oddHeader>
    <oddFooter xml:space="preserve">&amp;L&amp;"Arial"&amp;8 Lista: LCW147TREW &amp;C&amp;"Arial"&amp;8 Stranica 
&amp;B&amp;P&amp;B &amp;R&amp;"Arial"&amp;8 * OBRADA LC *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H205"/>
  <sheetViews>
    <sheetView showGridLines="0" topLeftCell="F1" zoomScaleNormal="100" workbookViewId="0">
      <pane ySplit="5" topLeftCell="A6" activePane="bottomLeft" state="frozen"/>
      <selection activeCell="F1" sqref="F1"/>
      <selection pane="bottomLeft" activeCell="Z1" sqref="Z1:AI1048576"/>
    </sheetView>
  </sheetViews>
  <sheetFormatPr defaultColWidth="8.7109375" defaultRowHeight="12.75" outlineLevelRow="1" outlineLevelCol="1" x14ac:dyDescent="0.2"/>
  <cols>
    <col min="1" max="1" width="9.28515625" style="26" hidden="1" customWidth="1" outlineLevel="1"/>
    <col min="2" max="2" width="3.7109375" style="30" hidden="1" customWidth="1" outlineLevel="1"/>
    <col min="3" max="3" width="8.7109375" style="30" hidden="1" customWidth="1" outlineLevel="1"/>
    <col min="4" max="4" width="10.28515625" style="30" hidden="1" customWidth="1" outlineLevel="1"/>
    <col min="5" max="5" width="12.5703125" style="26" hidden="1" customWidth="1" outlineLevel="1"/>
    <col min="6" max="6" width="10.5703125" style="25" customWidth="1" collapsed="1"/>
    <col min="7" max="7" width="13.5703125" style="25" hidden="1" customWidth="1" outlineLevel="1"/>
    <col min="8" max="8" width="35.5703125" style="25" customWidth="1" collapsed="1"/>
    <col min="9" max="9" width="13.7109375" style="25" customWidth="1"/>
    <col min="10" max="14" width="13.7109375" style="25" hidden="1" customWidth="1" outlineLevel="1"/>
    <col min="15" max="17" width="13.7109375" style="25" hidden="1" customWidth="1" outlineLevel="1" collapsed="1"/>
    <col min="18" max="19" width="13.7109375" style="25" hidden="1" customWidth="1" outlineLevel="1"/>
    <col min="20" max="20" width="13.7109375" style="25" customWidth="1" collapsed="1"/>
    <col min="21" max="22" width="13.7109375" style="25" customWidth="1"/>
    <col min="23" max="30" width="13.7109375" style="25" customWidth="1" outlineLevel="1"/>
    <col min="31" max="31" width="13.7109375" style="25" customWidth="1"/>
    <col min="32" max="32" width="13.7109375" style="25" customWidth="1" outlineLevel="1"/>
    <col min="33" max="33" width="13.7109375" style="25" customWidth="1"/>
    <col min="34" max="40" width="8.7109375" style="25" customWidth="1"/>
    <col min="41" max="16384" width="8.7109375" style="25"/>
  </cols>
  <sheetData>
    <row r="1" spans="1:32" ht="20.100000000000001" customHeight="1" x14ac:dyDescent="0.2">
      <c r="F1" s="217" t="s">
        <v>0</v>
      </c>
      <c r="G1" s="217"/>
      <c r="H1" s="217"/>
      <c r="I1" s="217"/>
    </row>
    <row r="2" spans="1:32" ht="20.100000000000001" customHeight="1" x14ac:dyDescent="0.2">
      <c r="F2" s="217" t="s">
        <v>1</v>
      </c>
      <c r="G2" s="217"/>
      <c r="H2" s="217"/>
      <c r="I2" s="217"/>
      <c r="U2" s="241" t="s">
        <v>368</v>
      </c>
      <c r="V2" s="241" t="s">
        <v>371</v>
      </c>
      <c r="W2" s="241" t="s">
        <v>369</v>
      </c>
      <c r="X2" s="241" t="s">
        <v>370</v>
      </c>
      <c r="Y2" s="241" t="s">
        <v>372</v>
      </c>
    </row>
    <row r="3" spans="1:32" ht="20.100000000000001" customHeight="1" x14ac:dyDescent="0.2">
      <c r="F3" s="217" t="s">
        <v>2</v>
      </c>
      <c r="G3" s="217"/>
      <c r="H3" s="217"/>
      <c r="I3" s="58"/>
      <c r="J3" s="32"/>
      <c r="U3" s="241"/>
      <c r="V3" s="241"/>
      <c r="W3" s="241"/>
      <c r="X3" s="241"/>
      <c r="Y3" s="241"/>
    </row>
    <row r="4" spans="1:32" ht="20.100000000000001" customHeight="1" thickBot="1" x14ac:dyDescent="0.25">
      <c r="S4" s="32"/>
      <c r="U4" s="242"/>
      <c r="V4" s="242"/>
      <c r="W4" s="242"/>
      <c r="X4" s="242"/>
      <c r="Y4" s="242"/>
      <c r="AF4" s="32"/>
    </row>
    <row r="5" spans="1:32" ht="50.1" customHeight="1" thickTop="1" thickBot="1" x14ac:dyDescent="0.25">
      <c r="F5" s="49" t="s">
        <v>3</v>
      </c>
      <c r="G5" s="49" t="s">
        <v>4</v>
      </c>
      <c r="H5" s="49" t="s">
        <v>5</v>
      </c>
      <c r="I5" s="50" t="s">
        <v>6</v>
      </c>
      <c r="J5" s="50" t="s">
        <v>7</v>
      </c>
      <c r="K5" s="50" t="s">
        <v>8</v>
      </c>
      <c r="L5" s="50" t="s">
        <v>9</v>
      </c>
      <c r="M5" s="50" t="s">
        <v>10</v>
      </c>
      <c r="N5" s="50" t="s">
        <v>11</v>
      </c>
      <c r="O5" s="50" t="s">
        <v>12</v>
      </c>
      <c r="P5" s="50" t="s">
        <v>13</v>
      </c>
      <c r="Q5" s="51" t="s">
        <v>332</v>
      </c>
      <c r="R5" s="51" t="s">
        <v>333</v>
      </c>
      <c r="S5" s="51" t="s">
        <v>334</v>
      </c>
      <c r="T5" s="51" t="s">
        <v>356</v>
      </c>
      <c r="U5" s="51" t="s">
        <v>335</v>
      </c>
      <c r="V5" s="51" t="s">
        <v>364</v>
      </c>
      <c r="W5" s="51" t="s">
        <v>363</v>
      </c>
      <c r="X5" s="51" t="s">
        <v>367</v>
      </c>
      <c r="Y5" s="51" t="s">
        <v>366</v>
      </c>
      <c r="Z5" s="60"/>
      <c r="AF5" s="51" t="s">
        <v>365</v>
      </c>
    </row>
    <row r="6" spans="1:32" ht="24.95" customHeight="1" thickTop="1" thickBot="1" x14ac:dyDescent="0.25">
      <c r="F6" s="41">
        <v>1</v>
      </c>
      <c r="G6" s="41"/>
      <c r="H6" s="41">
        <v>2</v>
      </c>
      <c r="I6" s="41">
        <v>2</v>
      </c>
      <c r="J6" s="41">
        <v>3</v>
      </c>
      <c r="K6" s="42" t="s">
        <v>337</v>
      </c>
      <c r="L6" s="41" t="s">
        <v>338</v>
      </c>
      <c r="M6" s="41" t="s">
        <v>339</v>
      </c>
      <c r="N6" s="41" t="s">
        <v>340</v>
      </c>
      <c r="O6" s="41" t="s">
        <v>341</v>
      </c>
      <c r="P6" s="41" t="s">
        <v>342</v>
      </c>
      <c r="Q6" s="41">
        <v>3</v>
      </c>
      <c r="R6" s="41" t="s">
        <v>343</v>
      </c>
      <c r="S6" s="41">
        <v>3</v>
      </c>
      <c r="T6" s="41">
        <v>3</v>
      </c>
      <c r="U6" s="41">
        <v>4</v>
      </c>
      <c r="V6" s="41">
        <v>5</v>
      </c>
      <c r="W6" s="41" t="s">
        <v>361</v>
      </c>
      <c r="X6" s="41" t="s">
        <v>362</v>
      </c>
      <c r="Y6" s="41">
        <v>5</v>
      </c>
      <c r="Z6" s="61"/>
      <c r="AF6" s="41" t="s">
        <v>361</v>
      </c>
    </row>
    <row r="7" spans="1:32" ht="20.100000000000001" customHeight="1" thickBot="1" x14ac:dyDescent="0.25">
      <c r="F7" s="220" t="s">
        <v>52</v>
      </c>
      <c r="G7" s="220"/>
      <c r="H7" s="220"/>
      <c r="I7" s="43">
        <f>I8</f>
        <v>23471400</v>
      </c>
      <c r="J7" s="43">
        <f t="shared" ref="J7:Y9" si="0">J8</f>
        <v>23013153.740000006</v>
      </c>
      <c r="K7" s="43">
        <f t="shared" si="0"/>
        <v>458246.25999999966</v>
      </c>
      <c r="L7" s="43">
        <f t="shared" si="0"/>
        <v>0</v>
      </c>
      <c r="M7" s="43">
        <f t="shared" si="0"/>
        <v>23013153.740000006</v>
      </c>
      <c r="N7" s="43">
        <f t="shared" si="0"/>
        <v>0</v>
      </c>
      <c r="O7" s="43">
        <f t="shared" si="0"/>
        <v>458346.25999999966</v>
      </c>
      <c r="P7" s="44">
        <v>0.98099999999999998</v>
      </c>
      <c r="Q7" s="43">
        <f t="shared" si="0"/>
        <v>23013153.740000006</v>
      </c>
      <c r="R7" s="43">
        <f t="shared" si="0"/>
        <v>-1258340.0699999998</v>
      </c>
      <c r="S7" s="43">
        <f t="shared" si="0"/>
        <v>21754813.670000009</v>
      </c>
      <c r="T7" s="43">
        <f t="shared" si="0"/>
        <v>23221917.380000003</v>
      </c>
      <c r="U7" s="43">
        <f t="shared" si="0"/>
        <v>23268572.130000003</v>
      </c>
      <c r="V7" s="43">
        <f t="shared" si="0"/>
        <v>-46654.749999999258</v>
      </c>
      <c r="W7" s="43">
        <f>W8</f>
        <v>0</v>
      </c>
      <c r="X7" s="43">
        <f t="shared" si="0"/>
        <v>23268572.130000003</v>
      </c>
      <c r="Y7" s="43">
        <f t="shared" si="0"/>
        <v>-46654.749999999134</v>
      </c>
      <c r="Z7" s="62"/>
      <c r="AE7" s="32"/>
      <c r="AF7" s="43">
        <v>23268572.130000003</v>
      </c>
    </row>
    <row r="8" spans="1:32" ht="20.100000000000001" customHeight="1" thickBot="1" x14ac:dyDescent="0.25">
      <c r="F8" s="220"/>
      <c r="G8" s="220"/>
      <c r="H8" s="220"/>
      <c r="I8" s="43">
        <f>I9</f>
        <v>23471400</v>
      </c>
      <c r="J8" s="43">
        <f t="shared" si="0"/>
        <v>23013153.740000006</v>
      </c>
      <c r="K8" s="43">
        <f t="shared" si="0"/>
        <v>458246.25999999966</v>
      </c>
      <c r="L8" s="43">
        <f t="shared" si="0"/>
        <v>0</v>
      </c>
      <c r="M8" s="43">
        <f t="shared" si="0"/>
        <v>23013153.740000006</v>
      </c>
      <c r="N8" s="43">
        <f t="shared" si="0"/>
        <v>0</v>
      </c>
      <c r="O8" s="43">
        <f t="shared" si="0"/>
        <v>458346.25999999966</v>
      </c>
      <c r="P8" s="44">
        <v>0.98099999999999998</v>
      </c>
      <c r="Q8" s="43">
        <f t="shared" si="0"/>
        <v>23013153.740000006</v>
      </c>
      <c r="R8" s="43">
        <f t="shared" si="0"/>
        <v>-1258340.0699999998</v>
      </c>
      <c r="S8" s="43">
        <f t="shared" si="0"/>
        <v>21754813.670000009</v>
      </c>
      <c r="T8" s="43">
        <f t="shared" si="0"/>
        <v>23221917.380000003</v>
      </c>
      <c r="U8" s="43">
        <f t="shared" si="0"/>
        <v>23268572.130000003</v>
      </c>
      <c r="V8" s="43">
        <f t="shared" si="0"/>
        <v>-46654.749999999258</v>
      </c>
      <c r="W8" s="43">
        <f>W9</f>
        <v>0</v>
      </c>
      <c r="X8" s="43">
        <f t="shared" si="0"/>
        <v>23268572.130000003</v>
      </c>
      <c r="Y8" s="43">
        <f t="shared" si="0"/>
        <v>-46654.749999999134</v>
      </c>
      <c r="Z8" s="62"/>
      <c r="AF8" s="43">
        <v>23268572.130000003</v>
      </c>
    </row>
    <row r="9" spans="1:32" ht="35.1" customHeight="1" thickBot="1" x14ac:dyDescent="0.25">
      <c r="F9" s="219" t="s">
        <v>54</v>
      </c>
      <c r="G9" s="219"/>
      <c r="H9" s="219"/>
      <c r="I9" s="45">
        <f>I10+I111+I163+I166+I170</f>
        <v>23471400</v>
      </c>
      <c r="J9" s="45">
        <f>J10+J111+J163+J166+J170</f>
        <v>23013153.740000006</v>
      </c>
      <c r="K9" s="45">
        <f>K10+K111+K163+K166+K170</f>
        <v>458246.25999999966</v>
      </c>
      <c r="L9" s="45">
        <f t="shared" si="0"/>
        <v>0</v>
      </c>
      <c r="M9" s="45">
        <f>M10+M111+M163+M166+M170</f>
        <v>23013153.740000006</v>
      </c>
      <c r="N9" s="45">
        <f t="shared" si="0"/>
        <v>0</v>
      </c>
      <c r="O9" s="45">
        <f>O10+O111+O163+O166+O170</f>
        <v>458346.25999999966</v>
      </c>
      <c r="P9" s="46">
        <v>0.98099999999999998</v>
      </c>
      <c r="Q9" s="45">
        <f t="shared" ref="Q9:X9" si="1">Q10+Q111+Q163+Q166+Q170</f>
        <v>23013153.740000006</v>
      </c>
      <c r="R9" s="45">
        <f t="shared" si="1"/>
        <v>-1258340.0699999998</v>
      </c>
      <c r="S9" s="45">
        <f t="shared" si="1"/>
        <v>21754813.670000009</v>
      </c>
      <c r="T9" s="45">
        <f t="shared" si="1"/>
        <v>23221917.380000003</v>
      </c>
      <c r="U9" s="45">
        <f t="shared" si="1"/>
        <v>23268572.130000003</v>
      </c>
      <c r="V9" s="45">
        <f t="shared" si="1"/>
        <v>-46654.749999999258</v>
      </c>
      <c r="W9" s="45">
        <f>W10+W111+W163+W166+W170</f>
        <v>0</v>
      </c>
      <c r="X9" s="45">
        <f t="shared" si="1"/>
        <v>23268572.130000003</v>
      </c>
      <c r="Y9" s="45">
        <f>Y10+Y111+Y163+Y166+Y170</f>
        <v>-46654.749999999134</v>
      </c>
      <c r="Z9" s="63"/>
      <c r="AF9" s="45">
        <v>23268572.130000003</v>
      </c>
    </row>
    <row r="10" spans="1:32" ht="35.1" customHeight="1" x14ac:dyDescent="0.2">
      <c r="F10" s="218" t="s">
        <v>55</v>
      </c>
      <c r="G10" s="218"/>
      <c r="H10" s="218"/>
      <c r="I10" s="47">
        <f>I11+I37+I39+I66+I95+I101+I109</f>
        <v>20148300</v>
      </c>
      <c r="J10" s="47">
        <f t="shared" ref="J10:Q10" si="2">J11+J37+J39+J66+J95+J101+J109</f>
        <v>20984663.520000003</v>
      </c>
      <c r="K10" s="47">
        <f t="shared" si="2"/>
        <v>-836363.52000000025</v>
      </c>
      <c r="L10" s="47">
        <f t="shared" si="2"/>
        <v>0</v>
      </c>
      <c r="M10" s="47">
        <f t="shared" si="2"/>
        <v>20984663.520000003</v>
      </c>
      <c r="N10" s="47">
        <f t="shared" si="2"/>
        <v>0</v>
      </c>
      <c r="O10" s="47">
        <f t="shared" si="2"/>
        <v>-836363.52000000025</v>
      </c>
      <c r="P10" s="48">
        <v>1.042</v>
      </c>
      <c r="Q10" s="47">
        <f t="shared" si="2"/>
        <v>20984663.520000003</v>
      </c>
      <c r="R10" s="47">
        <f t="shared" ref="R10:Y10" si="3">R11+R37+R39+R66+R95+R101+R109</f>
        <v>-1455193.6199999999</v>
      </c>
      <c r="S10" s="47">
        <f t="shared" si="3"/>
        <v>19529469.900000006</v>
      </c>
      <c r="T10" s="47">
        <f t="shared" si="3"/>
        <v>20443595.930000003</v>
      </c>
      <c r="U10" s="47">
        <f t="shared" si="3"/>
        <v>20487727.300000001</v>
      </c>
      <c r="V10" s="47">
        <f t="shared" si="3"/>
        <v>-44131.369999999144</v>
      </c>
      <c r="W10" s="47">
        <f>W11+W37+W39+W66+W95+W101+W109</f>
        <v>0</v>
      </c>
      <c r="X10" s="47">
        <f t="shared" si="3"/>
        <v>20487727.300000004</v>
      </c>
      <c r="Y10" s="47">
        <f t="shared" si="3"/>
        <v>-44131.369999999137</v>
      </c>
      <c r="Z10" s="39"/>
      <c r="AF10" s="47">
        <v>20487727.300000001</v>
      </c>
    </row>
    <row r="11" spans="1:32" ht="20.100000000000001" customHeight="1" x14ac:dyDescent="0.2">
      <c r="F11" s="216" t="s">
        <v>56</v>
      </c>
      <c r="G11" s="216"/>
      <c r="H11" s="216"/>
      <c r="I11" s="52">
        <f>SUMIFS(I13:I183,$A13:$A183,"A212401",$B13:$B183,"112")</f>
        <v>18447700</v>
      </c>
      <c r="J11" s="52">
        <f>SUMIFS(J13:J183,$A13:$A183,"A212401",$B13:$B183,"112")</f>
        <v>20201443.609999999</v>
      </c>
      <c r="K11" s="52">
        <f>SUMIFS(K13:K183,$A13:$A183,"A212401",$B13:$B183,"112")</f>
        <v>-1753743.61</v>
      </c>
      <c r="L11" s="52">
        <f>SUMIFS(L13:L183,$A13:$A183,"A212401",$B13:$B183,"112")</f>
        <v>0</v>
      </c>
      <c r="M11" s="52">
        <v>20201443.609999999</v>
      </c>
      <c r="N11" s="52">
        <f>SUMIFS(N13:N183,$A13:$A183,"A212401",$B13:$B183,"112")</f>
        <v>0</v>
      </c>
      <c r="O11" s="52">
        <f>SUMIFS(O13:O183,$A13:$A183,"A212401",$B13:$B183,"112")</f>
        <v>-1753743.61</v>
      </c>
      <c r="P11" s="53">
        <v>1.095</v>
      </c>
      <c r="Q11" s="52">
        <f t="shared" ref="Q11:V11" si="4">SUMIFS(Q13:Q183,$A13:$A183,"A212401",$B13:$B183,"112")</f>
        <v>20201443.609999999</v>
      </c>
      <c r="R11" s="52">
        <f t="shared" si="4"/>
        <v>-1455193.6199999999</v>
      </c>
      <c r="S11" s="52">
        <f t="shared" si="4"/>
        <v>18746249.990000002</v>
      </c>
      <c r="T11" s="52">
        <f t="shared" si="4"/>
        <v>18746249.990000002</v>
      </c>
      <c r="U11" s="52">
        <f t="shared" si="4"/>
        <v>18790381.359999999</v>
      </c>
      <c r="V11" s="52">
        <f t="shared" si="4"/>
        <v>-44131.369999999144</v>
      </c>
      <c r="W11" s="52">
        <f>SUMIFS(W13:W183,$A13:$A183,"A212401",$B13:$B183,"112")</f>
        <v>911.07</v>
      </c>
      <c r="X11" s="52">
        <f>SUMIFS(X13:X183,$A13:$A183,"A212401",$B13:$B183,"112")</f>
        <v>18791292.43</v>
      </c>
      <c r="Y11" s="52">
        <f>SUMIFS(Y13:Y183,$A13:$A183,"A212401",$B13:$B183,"112")</f>
        <v>-45042.439999999136</v>
      </c>
      <c r="Z11" s="52"/>
      <c r="AF11" s="52">
        <v>18790381.359999999</v>
      </c>
    </row>
    <row r="12" spans="1:32" ht="20.100000000000001" customHeight="1" outlineLevel="1" x14ac:dyDescent="0.2">
      <c r="F12" s="26"/>
      <c r="G12" s="26"/>
      <c r="H12" s="26"/>
      <c r="I12" s="27"/>
      <c r="J12" s="27"/>
      <c r="K12" s="27"/>
      <c r="L12" s="27"/>
      <c r="M12" s="27"/>
      <c r="N12" s="27"/>
      <c r="O12" s="27"/>
      <c r="P12" s="28"/>
      <c r="Q12" s="27"/>
      <c r="R12" s="27"/>
      <c r="S12" s="27"/>
      <c r="T12" s="27"/>
      <c r="U12" s="27"/>
      <c r="V12" s="27"/>
      <c r="W12" s="27"/>
      <c r="X12" s="27"/>
      <c r="Y12" s="27"/>
      <c r="Z12" s="27"/>
      <c r="AF12" s="27"/>
    </row>
    <row r="13" spans="1:32" ht="20.100000000000001" customHeight="1" outlineLevel="1" x14ac:dyDescent="0.2">
      <c r="A13" s="26" t="s">
        <v>327</v>
      </c>
      <c r="B13" s="30">
        <v>112</v>
      </c>
      <c r="C13" s="30" t="str">
        <f t="shared" ref="C13:C36" si="5">LEFT(F13,1)</f>
        <v>3</v>
      </c>
      <c r="D13" s="30" t="str">
        <f t="shared" ref="D13:D36" si="6">LEFT(F13,2)</f>
        <v>31</v>
      </c>
      <c r="E13" s="26" t="str">
        <f t="shared" ref="E13:E36" si="7">LEFT(F13,3)</f>
        <v>311</v>
      </c>
      <c r="F13" s="26" t="s">
        <v>57</v>
      </c>
      <c r="G13" s="26" t="s">
        <v>58</v>
      </c>
      <c r="H13" s="26" t="s">
        <v>59</v>
      </c>
      <c r="I13" s="27">
        <v>13944200</v>
      </c>
      <c r="J13" s="27">
        <v>15150822.08</v>
      </c>
      <c r="K13" s="27">
        <v>-1206622.08</v>
      </c>
      <c r="L13" s="27">
        <v>0</v>
      </c>
      <c r="M13" s="27">
        <v>15150822.08</v>
      </c>
      <c r="N13" s="27">
        <v>0</v>
      </c>
      <c r="O13" s="27">
        <v>-1206622.08</v>
      </c>
      <c r="P13" s="28">
        <v>1.087</v>
      </c>
      <c r="Q13" s="27">
        <f>J13</f>
        <v>15150822.08</v>
      </c>
      <c r="R13" s="27">
        <v>-1179731.77</v>
      </c>
      <c r="S13" s="27">
        <f t="shared" ref="S13:S36" si="8">R13+Q13</f>
        <v>13971090.310000001</v>
      </c>
      <c r="T13" s="27">
        <f>S13</f>
        <v>13971090.310000001</v>
      </c>
      <c r="U13" s="27">
        <v>13962614.67</v>
      </c>
      <c r="V13" s="27">
        <f>T13-U13</f>
        <v>8475.640000000596</v>
      </c>
      <c r="W13" s="27"/>
      <c r="X13" s="27">
        <f>W13+U13</f>
        <v>13962614.67</v>
      </c>
      <c r="Y13" s="27">
        <f>T13-X13</f>
        <v>8475.640000000596</v>
      </c>
      <c r="Z13" s="27"/>
      <c r="AF13" s="27">
        <v>13962614.67</v>
      </c>
    </row>
    <row r="14" spans="1:32" ht="20.100000000000001" customHeight="1" outlineLevel="1" x14ac:dyDescent="0.2">
      <c r="A14" s="26" t="s">
        <v>327</v>
      </c>
      <c r="B14" s="30">
        <v>112</v>
      </c>
      <c r="C14" s="30" t="str">
        <f t="shared" si="5"/>
        <v>3</v>
      </c>
      <c r="D14" s="30" t="str">
        <f t="shared" si="6"/>
        <v>31</v>
      </c>
      <c r="E14" s="26" t="str">
        <f t="shared" si="7"/>
        <v>312</v>
      </c>
      <c r="F14" s="26" t="s">
        <v>60</v>
      </c>
      <c r="G14" s="26" t="s">
        <v>61</v>
      </c>
      <c r="H14" s="26" t="s">
        <v>62</v>
      </c>
      <c r="I14" s="27">
        <v>899400</v>
      </c>
      <c r="J14" s="27">
        <v>1344751.27</v>
      </c>
      <c r="K14" s="27">
        <v>-445351.27</v>
      </c>
      <c r="L14" s="27">
        <v>0</v>
      </c>
      <c r="M14" s="27">
        <v>1344751.27</v>
      </c>
      <c r="N14" s="27">
        <v>0</v>
      </c>
      <c r="O14" s="27">
        <v>-445351.27</v>
      </c>
      <c r="P14" s="28">
        <v>1.4950000000000001</v>
      </c>
      <c r="Q14" s="27">
        <f t="shared" ref="Q14:Q36" si="9">J14</f>
        <v>1344751.27</v>
      </c>
      <c r="R14" s="27">
        <v>-85169.88</v>
      </c>
      <c r="S14" s="27">
        <f t="shared" si="8"/>
        <v>1259581.3900000001</v>
      </c>
      <c r="T14" s="27">
        <f t="shared" ref="T14:T36" si="10">S14</f>
        <v>1259581.3900000001</v>
      </c>
      <c r="U14" s="27">
        <v>1282770.57</v>
      </c>
      <c r="V14" s="27">
        <f t="shared" ref="V14:V77" si="11">T14-U14</f>
        <v>-23189.179999999935</v>
      </c>
      <c r="W14" s="27"/>
      <c r="X14" s="27">
        <f t="shared" ref="X14:X77" si="12">W14+U14</f>
        <v>1282770.57</v>
      </c>
      <c r="Y14" s="27">
        <f t="shared" ref="Y14:Y77" si="13">T14-X14</f>
        <v>-23189.179999999935</v>
      </c>
      <c r="Z14" s="27"/>
      <c r="AF14" s="27">
        <v>1282770.57</v>
      </c>
    </row>
    <row r="15" spans="1:32" ht="20.100000000000001" customHeight="1" outlineLevel="1" x14ac:dyDescent="0.2">
      <c r="A15" s="26" t="s">
        <v>327</v>
      </c>
      <c r="B15" s="30">
        <v>112</v>
      </c>
      <c r="C15" s="30" t="str">
        <f t="shared" si="5"/>
        <v>3</v>
      </c>
      <c r="D15" s="30" t="str">
        <f t="shared" si="6"/>
        <v>31</v>
      </c>
      <c r="E15" s="26" t="str">
        <f t="shared" si="7"/>
        <v>313</v>
      </c>
      <c r="F15" s="26" t="s">
        <v>63</v>
      </c>
      <c r="G15" s="26" t="s">
        <v>64</v>
      </c>
      <c r="H15" s="26" t="s">
        <v>65</v>
      </c>
      <c r="I15" s="27">
        <v>2231900</v>
      </c>
      <c r="J15" s="27">
        <v>2425088.31</v>
      </c>
      <c r="K15" s="27">
        <v>-193188.31</v>
      </c>
      <c r="L15" s="27">
        <v>0</v>
      </c>
      <c r="M15" s="27">
        <v>2425088.31</v>
      </c>
      <c r="N15" s="27">
        <v>0</v>
      </c>
      <c r="O15" s="27">
        <v>-193188.31</v>
      </c>
      <c r="P15" s="28">
        <v>1.087</v>
      </c>
      <c r="Q15" s="27">
        <f t="shared" si="9"/>
        <v>2425088.31</v>
      </c>
      <c r="R15" s="27">
        <v>-188401.59</v>
      </c>
      <c r="S15" s="27">
        <f t="shared" si="8"/>
        <v>2236686.7200000002</v>
      </c>
      <c r="T15" s="27">
        <f t="shared" si="10"/>
        <v>2236686.7200000002</v>
      </c>
      <c r="U15" s="27">
        <v>2240298.54</v>
      </c>
      <c r="V15" s="27">
        <f t="shared" si="11"/>
        <v>-3611.8199999998324</v>
      </c>
      <c r="W15" s="27"/>
      <c r="X15" s="27">
        <f t="shared" si="12"/>
        <v>2240298.54</v>
      </c>
      <c r="Y15" s="27">
        <f t="shared" si="13"/>
        <v>-3611.8199999998324</v>
      </c>
      <c r="Z15" s="27"/>
      <c r="AF15" s="27">
        <v>2240298.54</v>
      </c>
    </row>
    <row r="16" spans="1:32" ht="20.100000000000001" customHeight="1" outlineLevel="1" x14ac:dyDescent="0.2">
      <c r="A16" s="26" t="s">
        <v>327</v>
      </c>
      <c r="B16" s="30">
        <v>112</v>
      </c>
      <c r="C16" s="30" t="str">
        <f t="shared" si="5"/>
        <v>3</v>
      </c>
      <c r="D16" s="30" t="str">
        <f t="shared" si="6"/>
        <v>32</v>
      </c>
      <c r="E16" s="26" t="str">
        <f t="shared" si="7"/>
        <v>321</v>
      </c>
      <c r="F16" s="26" t="s">
        <v>66</v>
      </c>
      <c r="G16" s="26" t="s">
        <v>67</v>
      </c>
      <c r="H16" s="26" t="s">
        <v>68</v>
      </c>
      <c r="I16" s="27">
        <v>321000</v>
      </c>
      <c r="J16" s="27">
        <v>301355.68</v>
      </c>
      <c r="K16" s="27">
        <v>19644.32</v>
      </c>
      <c r="L16" s="27">
        <v>0</v>
      </c>
      <c r="M16" s="27">
        <v>301355.68</v>
      </c>
      <c r="N16" s="27">
        <v>0</v>
      </c>
      <c r="O16" s="27">
        <v>19644.32</v>
      </c>
      <c r="P16" s="28">
        <v>0.93899999999999995</v>
      </c>
      <c r="Q16" s="27">
        <f t="shared" si="9"/>
        <v>301355.68</v>
      </c>
      <c r="R16" s="27">
        <v>-3372.23</v>
      </c>
      <c r="S16" s="27">
        <f t="shared" si="8"/>
        <v>297983.45</v>
      </c>
      <c r="T16" s="27">
        <f t="shared" si="10"/>
        <v>297983.45</v>
      </c>
      <c r="U16" s="27">
        <v>311375.78999999998</v>
      </c>
      <c r="V16" s="27">
        <f t="shared" si="11"/>
        <v>-13392.339999999967</v>
      </c>
      <c r="W16" s="27"/>
      <c r="X16" s="27">
        <f t="shared" si="12"/>
        <v>311375.78999999998</v>
      </c>
      <c r="Y16" s="27">
        <f t="shared" si="13"/>
        <v>-13392.339999999967</v>
      </c>
      <c r="Z16" s="27"/>
      <c r="AF16" s="27">
        <v>311375.78999999998</v>
      </c>
    </row>
    <row r="17" spans="1:32" ht="20.100000000000001" customHeight="1" outlineLevel="1" x14ac:dyDescent="0.2">
      <c r="A17" s="26" t="s">
        <v>327</v>
      </c>
      <c r="B17" s="30">
        <v>112</v>
      </c>
      <c r="C17" s="30" t="str">
        <f t="shared" si="5"/>
        <v>3</v>
      </c>
      <c r="D17" s="30" t="str">
        <f t="shared" si="6"/>
        <v>32</v>
      </c>
      <c r="E17" s="26" t="str">
        <f t="shared" si="7"/>
        <v>321</v>
      </c>
      <c r="F17" s="26" t="s">
        <v>69</v>
      </c>
      <c r="G17" s="26" t="s">
        <v>70</v>
      </c>
      <c r="H17" s="26" t="s">
        <v>71</v>
      </c>
      <c r="I17" s="27">
        <v>25000</v>
      </c>
      <c r="J17" s="27">
        <v>26755.89</v>
      </c>
      <c r="K17" s="27">
        <v>-1755.89</v>
      </c>
      <c r="L17" s="27">
        <v>0</v>
      </c>
      <c r="M17" s="27">
        <v>26755.89</v>
      </c>
      <c r="N17" s="27">
        <v>0</v>
      </c>
      <c r="O17" s="27">
        <v>-1755.89</v>
      </c>
      <c r="P17" s="28">
        <v>1.07</v>
      </c>
      <c r="Q17" s="27">
        <f t="shared" si="9"/>
        <v>26755.89</v>
      </c>
      <c r="R17" s="27">
        <v>870.32</v>
      </c>
      <c r="S17" s="27">
        <f t="shared" si="8"/>
        <v>27626.21</v>
      </c>
      <c r="T17" s="27">
        <f t="shared" si="10"/>
        <v>27626.21</v>
      </c>
      <c r="U17" s="27">
        <v>26755.89</v>
      </c>
      <c r="V17" s="27">
        <f t="shared" si="11"/>
        <v>870.31999999999971</v>
      </c>
      <c r="W17" s="27">
        <v>870.32</v>
      </c>
      <c r="X17" s="27">
        <f t="shared" si="12"/>
        <v>27626.21</v>
      </c>
      <c r="Y17" s="27">
        <f t="shared" si="13"/>
        <v>0</v>
      </c>
      <c r="Z17" s="27"/>
      <c r="AF17" s="27">
        <v>26755.89</v>
      </c>
    </row>
    <row r="18" spans="1:32" ht="20.100000000000001" customHeight="1" outlineLevel="1" x14ac:dyDescent="0.2">
      <c r="A18" s="26" t="s">
        <v>327</v>
      </c>
      <c r="B18" s="30">
        <v>112</v>
      </c>
      <c r="C18" s="30" t="str">
        <f t="shared" si="5"/>
        <v>3</v>
      </c>
      <c r="D18" s="30" t="str">
        <f t="shared" si="6"/>
        <v>32</v>
      </c>
      <c r="E18" s="26" t="str">
        <f t="shared" si="7"/>
        <v>322</v>
      </c>
      <c r="F18" s="26" t="s">
        <v>72</v>
      </c>
      <c r="G18" s="26" t="s">
        <v>73</v>
      </c>
      <c r="H18" s="26" t="s">
        <v>74</v>
      </c>
      <c r="I18" s="27">
        <v>4500</v>
      </c>
      <c r="J18" s="27">
        <v>4545</v>
      </c>
      <c r="K18" s="27">
        <v>-45</v>
      </c>
      <c r="L18" s="27">
        <v>0</v>
      </c>
      <c r="M18" s="27">
        <v>4545</v>
      </c>
      <c r="N18" s="27">
        <v>0</v>
      </c>
      <c r="O18" s="27">
        <v>-45</v>
      </c>
      <c r="P18" s="28">
        <v>1.01</v>
      </c>
      <c r="Q18" s="27">
        <f t="shared" si="9"/>
        <v>4545</v>
      </c>
      <c r="R18" s="27">
        <v>40.75</v>
      </c>
      <c r="S18" s="27">
        <f t="shared" si="8"/>
        <v>4585.75</v>
      </c>
      <c r="T18" s="27">
        <f t="shared" si="10"/>
        <v>4585.75</v>
      </c>
      <c r="U18" s="27">
        <v>4545</v>
      </c>
      <c r="V18" s="27">
        <f t="shared" si="11"/>
        <v>40.75</v>
      </c>
      <c r="W18" s="27">
        <v>40.75</v>
      </c>
      <c r="X18" s="27">
        <f t="shared" si="12"/>
        <v>4585.75</v>
      </c>
      <c r="Y18" s="27">
        <f t="shared" si="13"/>
        <v>0</v>
      </c>
      <c r="Z18" s="27"/>
      <c r="AF18" s="27">
        <v>4545</v>
      </c>
    </row>
    <row r="19" spans="1:32" ht="20.100000000000001" customHeight="1" outlineLevel="1" x14ac:dyDescent="0.2">
      <c r="A19" s="26" t="s">
        <v>327</v>
      </c>
      <c r="B19" s="30">
        <v>112</v>
      </c>
      <c r="C19" s="30" t="str">
        <f t="shared" si="5"/>
        <v>3</v>
      </c>
      <c r="D19" s="30" t="str">
        <f t="shared" si="6"/>
        <v>32</v>
      </c>
      <c r="E19" s="26" t="str">
        <f t="shared" si="7"/>
        <v>322</v>
      </c>
      <c r="F19" s="26" t="s">
        <v>75</v>
      </c>
      <c r="G19" s="26" t="s">
        <v>76</v>
      </c>
      <c r="H19" s="26" t="s">
        <v>77</v>
      </c>
      <c r="I19" s="27">
        <v>43400</v>
      </c>
      <c r="J19" s="27">
        <v>7878.08</v>
      </c>
      <c r="K19" s="27">
        <v>35521.919999999998</v>
      </c>
      <c r="L19" s="27">
        <v>0</v>
      </c>
      <c r="M19" s="27">
        <v>7878.08</v>
      </c>
      <c r="N19" s="27">
        <v>0</v>
      </c>
      <c r="O19" s="27">
        <v>35521.919999999998</v>
      </c>
      <c r="P19" s="28">
        <v>0.182</v>
      </c>
      <c r="Q19" s="27">
        <f t="shared" si="9"/>
        <v>7878.08</v>
      </c>
      <c r="R19" s="27"/>
      <c r="S19" s="27">
        <f t="shared" si="8"/>
        <v>7878.08</v>
      </c>
      <c r="T19" s="27">
        <f t="shared" si="10"/>
        <v>7878.08</v>
      </c>
      <c r="U19" s="27">
        <v>7878.08</v>
      </c>
      <c r="V19" s="27">
        <f t="shared" si="11"/>
        <v>0</v>
      </c>
      <c r="W19" s="27"/>
      <c r="X19" s="27">
        <f t="shared" si="12"/>
        <v>7878.08</v>
      </c>
      <c r="Y19" s="27">
        <f t="shared" si="13"/>
        <v>0</v>
      </c>
      <c r="Z19" s="27"/>
      <c r="AF19" s="27">
        <v>7878.08</v>
      </c>
    </row>
    <row r="20" spans="1:32" ht="20.100000000000001" customHeight="1" outlineLevel="1" x14ac:dyDescent="0.2">
      <c r="A20" s="26" t="s">
        <v>327</v>
      </c>
      <c r="B20" s="30">
        <v>112</v>
      </c>
      <c r="C20" s="30" t="str">
        <f t="shared" si="5"/>
        <v>3</v>
      </c>
      <c r="D20" s="30" t="str">
        <f t="shared" si="6"/>
        <v>32</v>
      </c>
      <c r="E20" s="26" t="str">
        <f t="shared" si="7"/>
        <v>322</v>
      </c>
      <c r="F20" s="26" t="s">
        <v>78</v>
      </c>
      <c r="G20" s="26" t="s">
        <v>79</v>
      </c>
      <c r="H20" s="26" t="s">
        <v>80</v>
      </c>
      <c r="I20" s="27">
        <v>446900</v>
      </c>
      <c r="J20" s="27">
        <v>407791.85</v>
      </c>
      <c r="K20" s="27">
        <v>39108.15</v>
      </c>
      <c r="L20" s="27">
        <v>0</v>
      </c>
      <c r="M20" s="27">
        <v>407791.85</v>
      </c>
      <c r="N20" s="27">
        <v>0</v>
      </c>
      <c r="O20" s="27">
        <v>39108.15</v>
      </c>
      <c r="P20" s="28">
        <v>0.91300000000000003</v>
      </c>
      <c r="Q20" s="27">
        <f t="shared" si="9"/>
        <v>407791.85</v>
      </c>
      <c r="R20" s="27"/>
      <c r="S20" s="27">
        <f t="shared" si="8"/>
        <v>407791.85</v>
      </c>
      <c r="T20" s="27">
        <f t="shared" si="10"/>
        <v>407791.85</v>
      </c>
      <c r="U20" s="27">
        <v>407807.11</v>
      </c>
      <c r="V20" s="27">
        <f t="shared" si="11"/>
        <v>-15.260000000009313</v>
      </c>
      <c r="W20" s="27"/>
      <c r="X20" s="27">
        <f t="shared" si="12"/>
        <v>407807.11</v>
      </c>
      <c r="Y20" s="27">
        <f t="shared" si="13"/>
        <v>-15.260000000009313</v>
      </c>
      <c r="Z20" s="27"/>
      <c r="AF20" s="27">
        <v>407807.11</v>
      </c>
    </row>
    <row r="21" spans="1:32" ht="20.100000000000001" customHeight="1" outlineLevel="1" x14ac:dyDescent="0.2">
      <c r="A21" s="26" t="s">
        <v>327</v>
      </c>
      <c r="B21" s="30">
        <v>112</v>
      </c>
      <c r="C21" s="30" t="str">
        <f t="shared" si="5"/>
        <v>3</v>
      </c>
      <c r="D21" s="30" t="str">
        <f t="shared" si="6"/>
        <v>32</v>
      </c>
      <c r="E21" s="26" t="str">
        <f t="shared" si="7"/>
        <v>322</v>
      </c>
      <c r="F21" s="26" t="s">
        <v>81</v>
      </c>
      <c r="G21" s="26" t="s">
        <v>82</v>
      </c>
      <c r="H21" s="26" t="s">
        <v>83</v>
      </c>
      <c r="I21" s="27">
        <v>5000</v>
      </c>
      <c r="J21" s="27">
        <v>4030.8</v>
      </c>
      <c r="K21" s="27">
        <v>969.2</v>
      </c>
      <c r="L21" s="27">
        <v>0</v>
      </c>
      <c r="M21" s="27">
        <v>4030.8</v>
      </c>
      <c r="N21" s="27">
        <v>0</v>
      </c>
      <c r="O21" s="27">
        <v>969.2</v>
      </c>
      <c r="P21" s="28">
        <v>0.80600000000000005</v>
      </c>
      <c r="Q21" s="27">
        <f t="shared" si="9"/>
        <v>4030.8</v>
      </c>
      <c r="R21" s="27"/>
      <c r="S21" s="27">
        <f t="shared" si="8"/>
        <v>4030.8</v>
      </c>
      <c r="T21" s="27">
        <f t="shared" si="10"/>
        <v>4030.8</v>
      </c>
      <c r="U21" s="27">
        <v>5000</v>
      </c>
      <c r="V21" s="27">
        <f t="shared" si="11"/>
        <v>-969.19999999999982</v>
      </c>
      <c r="W21" s="27"/>
      <c r="X21" s="27">
        <f t="shared" si="12"/>
        <v>5000</v>
      </c>
      <c r="Y21" s="27">
        <f t="shared" si="13"/>
        <v>-969.19999999999982</v>
      </c>
      <c r="Z21" s="27"/>
      <c r="AF21" s="27">
        <v>5000</v>
      </c>
    </row>
    <row r="22" spans="1:32" ht="20.100000000000001" customHeight="1" outlineLevel="1" x14ac:dyDescent="0.2">
      <c r="A22" s="26" t="s">
        <v>327</v>
      </c>
      <c r="B22" s="30">
        <v>112</v>
      </c>
      <c r="C22" s="30" t="str">
        <f t="shared" si="5"/>
        <v>3</v>
      </c>
      <c r="D22" s="30" t="str">
        <f t="shared" si="6"/>
        <v>32</v>
      </c>
      <c r="E22" s="26" t="str">
        <f t="shared" si="7"/>
        <v>322</v>
      </c>
      <c r="F22" s="26" t="s">
        <v>84</v>
      </c>
      <c r="G22" s="26" t="s">
        <v>85</v>
      </c>
      <c r="H22" s="26" t="s">
        <v>86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8">
        <v>0</v>
      </c>
      <c r="Q22" s="27">
        <f t="shared" si="9"/>
        <v>0</v>
      </c>
      <c r="R22" s="27"/>
      <c r="S22" s="27">
        <f t="shared" si="8"/>
        <v>0</v>
      </c>
      <c r="T22" s="27">
        <f t="shared" si="10"/>
        <v>0</v>
      </c>
      <c r="U22" s="27"/>
      <c r="V22" s="27">
        <f t="shared" si="11"/>
        <v>0</v>
      </c>
      <c r="W22" s="27"/>
      <c r="X22" s="27">
        <f t="shared" si="12"/>
        <v>0</v>
      </c>
      <c r="Y22" s="27">
        <f t="shared" si="13"/>
        <v>0</v>
      </c>
      <c r="Z22" s="27"/>
      <c r="AF22" s="27">
        <v>0</v>
      </c>
    </row>
    <row r="23" spans="1:32" ht="20.100000000000001" customHeight="1" outlineLevel="1" x14ac:dyDescent="0.2">
      <c r="A23" s="26" t="s">
        <v>327</v>
      </c>
      <c r="B23" s="30">
        <v>112</v>
      </c>
      <c r="C23" s="30" t="str">
        <f t="shared" si="5"/>
        <v>3</v>
      </c>
      <c r="D23" s="30" t="str">
        <f t="shared" si="6"/>
        <v>32</v>
      </c>
      <c r="E23" s="26" t="str">
        <f t="shared" si="7"/>
        <v>323</v>
      </c>
      <c r="F23" s="26" t="s">
        <v>87</v>
      </c>
      <c r="G23" s="26" t="s">
        <v>88</v>
      </c>
      <c r="H23" s="26" t="s">
        <v>89</v>
      </c>
      <c r="I23" s="27">
        <v>4000</v>
      </c>
      <c r="J23" s="27">
        <v>4000</v>
      </c>
      <c r="K23" s="27">
        <v>0</v>
      </c>
      <c r="L23" s="27">
        <v>0</v>
      </c>
      <c r="M23" s="27">
        <v>4000</v>
      </c>
      <c r="N23" s="27">
        <v>0</v>
      </c>
      <c r="O23" s="27">
        <v>0</v>
      </c>
      <c r="P23" s="28">
        <v>1</v>
      </c>
      <c r="Q23" s="27">
        <f t="shared" si="9"/>
        <v>4000</v>
      </c>
      <c r="R23" s="27"/>
      <c r="S23" s="27">
        <f t="shared" si="8"/>
        <v>4000</v>
      </c>
      <c r="T23" s="27">
        <f t="shared" si="10"/>
        <v>4000</v>
      </c>
      <c r="U23" s="27">
        <v>4000</v>
      </c>
      <c r="V23" s="27">
        <f t="shared" si="11"/>
        <v>0</v>
      </c>
      <c r="W23" s="27"/>
      <c r="X23" s="27">
        <f t="shared" si="12"/>
        <v>4000</v>
      </c>
      <c r="Y23" s="27">
        <f t="shared" si="13"/>
        <v>0</v>
      </c>
      <c r="Z23" s="27"/>
      <c r="AF23" s="27">
        <v>4000</v>
      </c>
    </row>
    <row r="24" spans="1:32" ht="20.100000000000001" customHeight="1" outlineLevel="1" x14ac:dyDescent="0.2">
      <c r="A24" s="26" t="s">
        <v>327</v>
      </c>
      <c r="B24" s="30">
        <v>112</v>
      </c>
      <c r="C24" s="30" t="str">
        <f t="shared" si="5"/>
        <v>3</v>
      </c>
      <c r="D24" s="30" t="str">
        <f t="shared" si="6"/>
        <v>32</v>
      </c>
      <c r="E24" s="26" t="str">
        <f t="shared" si="7"/>
        <v>323</v>
      </c>
      <c r="F24" s="26" t="s">
        <v>38</v>
      </c>
      <c r="G24" s="26" t="s">
        <v>90</v>
      </c>
      <c r="H24" s="26" t="s">
        <v>40</v>
      </c>
      <c r="I24" s="27">
        <v>10000</v>
      </c>
      <c r="J24" s="27">
        <v>10292.129999999999</v>
      </c>
      <c r="K24" s="27">
        <v>-292.13</v>
      </c>
      <c r="L24" s="27">
        <v>0</v>
      </c>
      <c r="M24" s="27">
        <v>10292.129999999999</v>
      </c>
      <c r="N24" s="27">
        <v>0</v>
      </c>
      <c r="O24" s="27">
        <v>-292.13</v>
      </c>
      <c r="P24" s="28">
        <v>1.0289999999999999</v>
      </c>
      <c r="Q24" s="27">
        <f t="shared" si="9"/>
        <v>10292.129999999999</v>
      </c>
      <c r="R24" s="27"/>
      <c r="S24" s="27">
        <f t="shared" si="8"/>
        <v>10292.129999999999</v>
      </c>
      <c r="T24" s="27">
        <f t="shared" si="10"/>
        <v>10292.129999999999</v>
      </c>
      <c r="U24" s="27">
        <v>10292.129999999999</v>
      </c>
      <c r="V24" s="27">
        <f t="shared" si="11"/>
        <v>0</v>
      </c>
      <c r="W24" s="27"/>
      <c r="X24" s="27">
        <f t="shared" si="12"/>
        <v>10292.129999999999</v>
      </c>
      <c r="Y24" s="27">
        <f t="shared" si="13"/>
        <v>0</v>
      </c>
      <c r="Z24" s="27"/>
      <c r="AF24" s="27">
        <v>10292.129999999999</v>
      </c>
    </row>
    <row r="25" spans="1:32" ht="20.100000000000001" customHeight="1" outlineLevel="1" x14ac:dyDescent="0.2">
      <c r="A25" s="26" t="s">
        <v>327</v>
      </c>
      <c r="B25" s="30">
        <v>112</v>
      </c>
      <c r="C25" s="30" t="str">
        <f t="shared" si="5"/>
        <v>3</v>
      </c>
      <c r="D25" s="30" t="str">
        <f t="shared" si="6"/>
        <v>32</v>
      </c>
      <c r="E25" s="26" t="str">
        <f t="shared" si="7"/>
        <v>323</v>
      </c>
      <c r="F25" s="26" t="s">
        <v>91</v>
      </c>
      <c r="G25" s="26" t="s">
        <v>92</v>
      </c>
      <c r="H25" s="26" t="s">
        <v>93</v>
      </c>
      <c r="I25" s="27">
        <v>30000</v>
      </c>
      <c r="J25" s="27">
        <v>25094.49</v>
      </c>
      <c r="K25" s="27">
        <v>4905.51</v>
      </c>
      <c r="L25" s="27">
        <v>0</v>
      </c>
      <c r="M25" s="27">
        <v>25094.49</v>
      </c>
      <c r="N25" s="27">
        <v>0</v>
      </c>
      <c r="O25" s="27">
        <v>4905.51</v>
      </c>
      <c r="P25" s="28">
        <v>0.83699999999999997</v>
      </c>
      <c r="Q25" s="27">
        <f t="shared" si="9"/>
        <v>25094.49</v>
      </c>
      <c r="R25" s="27"/>
      <c r="S25" s="27">
        <f t="shared" si="8"/>
        <v>25094.49</v>
      </c>
      <c r="T25" s="27">
        <f t="shared" si="10"/>
        <v>25094.49</v>
      </c>
      <c r="U25" s="27">
        <v>25094.49</v>
      </c>
      <c r="V25" s="27">
        <f t="shared" si="11"/>
        <v>0</v>
      </c>
      <c r="W25" s="27"/>
      <c r="X25" s="27">
        <f t="shared" si="12"/>
        <v>25094.49</v>
      </c>
      <c r="Y25" s="27">
        <f t="shared" si="13"/>
        <v>0</v>
      </c>
      <c r="Z25" s="27"/>
      <c r="AF25" s="27">
        <v>25094.49</v>
      </c>
    </row>
    <row r="26" spans="1:32" ht="20.100000000000001" customHeight="1" outlineLevel="1" x14ac:dyDescent="0.2">
      <c r="A26" s="26" t="s">
        <v>327</v>
      </c>
      <c r="B26" s="30">
        <v>112</v>
      </c>
      <c r="C26" s="30" t="str">
        <f t="shared" si="5"/>
        <v>3</v>
      </c>
      <c r="D26" s="30" t="str">
        <f t="shared" si="6"/>
        <v>32</v>
      </c>
      <c r="E26" s="26" t="str">
        <f t="shared" si="7"/>
        <v>323</v>
      </c>
      <c r="F26" s="26" t="s">
        <v>94</v>
      </c>
      <c r="G26" s="26" t="s">
        <v>95</v>
      </c>
      <c r="H26" s="26" t="s">
        <v>96</v>
      </c>
      <c r="I26" s="27">
        <v>134300</v>
      </c>
      <c r="J26" s="27">
        <v>141678.94</v>
      </c>
      <c r="K26" s="27">
        <v>-7378.94</v>
      </c>
      <c r="L26" s="27">
        <v>0</v>
      </c>
      <c r="M26" s="27">
        <v>141678.94</v>
      </c>
      <c r="N26" s="27">
        <v>0</v>
      </c>
      <c r="O26" s="27">
        <v>-7378.94</v>
      </c>
      <c r="P26" s="28">
        <v>1.0549999999999999</v>
      </c>
      <c r="Q26" s="27">
        <f t="shared" si="9"/>
        <v>141678.94</v>
      </c>
      <c r="R26" s="27"/>
      <c r="S26" s="27">
        <f t="shared" si="8"/>
        <v>141678.94</v>
      </c>
      <c r="T26" s="27">
        <f t="shared" si="10"/>
        <v>141678.94</v>
      </c>
      <c r="U26" s="27">
        <v>150922.5</v>
      </c>
      <c r="V26" s="27">
        <f t="shared" si="11"/>
        <v>-9243.5599999999977</v>
      </c>
      <c r="W26" s="27"/>
      <c r="X26" s="27">
        <f t="shared" si="12"/>
        <v>150922.5</v>
      </c>
      <c r="Y26" s="27">
        <f t="shared" si="13"/>
        <v>-9243.5599999999977</v>
      </c>
      <c r="Z26" s="27"/>
      <c r="AF26" s="27">
        <v>150922.5</v>
      </c>
    </row>
    <row r="27" spans="1:32" ht="20.100000000000001" customHeight="1" outlineLevel="1" x14ac:dyDescent="0.2">
      <c r="A27" s="26" t="s">
        <v>327</v>
      </c>
      <c r="B27" s="30">
        <v>112</v>
      </c>
      <c r="C27" s="30" t="str">
        <f t="shared" si="5"/>
        <v>3</v>
      </c>
      <c r="D27" s="30" t="str">
        <f t="shared" si="6"/>
        <v>32</v>
      </c>
      <c r="E27" s="26" t="str">
        <f t="shared" si="7"/>
        <v>323</v>
      </c>
      <c r="F27" s="26" t="s">
        <v>97</v>
      </c>
      <c r="G27" s="26" t="s">
        <v>98</v>
      </c>
      <c r="H27" s="26" t="s">
        <v>99</v>
      </c>
      <c r="I27" s="27">
        <v>117500</v>
      </c>
      <c r="J27" s="27">
        <v>118372.66</v>
      </c>
      <c r="K27" s="27">
        <v>-872.66</v>
      </c>
      <c r="L27" s="27">
        <v>0</v>
      </c>
      <c r="M27" s="27">
        <v>118372.66</v>
      </c>
      <c r="N27" s="27">
        <v>0</v>
      </c>
      <c r="O27" s="27">
        <v>-872.66</v>
      </c>
      <c r="P27" s="28">
        <v>1.0069999999999999</v>
      </c>
      <c r="Q27" s="27">
        <f t="shared" si="9"/>
        <v>118372.66</v>
      </c>
      <c r="R27" s="27"/>
      <c r="S27" s="27">
        <f t="shared" si="8"/>
        <v>118372.66</v>
      </c>
      <c r="T27" s="27">
        <f t="shared" si="10"/>
        <v>118372.66</v>
      </c>
      <c r="U27" s="27">
        <v>118372.66</v>
      </c>
      <c r="V27" s="27">
        <f t="shared" si="11"/>
        <v>0</v>
      </c>
      <c r="W27" s="27"/>
      <c r="X27" s="27">
        <f t="shared" si="12"/>
        <v>118372.66</v>
      </c>
      <c r="Y27" s="27">
        <f t="shared" si="13"/>
        <v>0</v>
      </c>
      <c r="Z27" s="27"/>
      <c r="AF27" s="27">
        <v>118372.66</v>
      </c>
    </row>
    <row r="28" spans="1:32" ht="20.100000000000001" customHeight="1" outlineLevel="1" x14ac:dyDescent="0.2">
      <c r="A28" s="26" t="s">
        <v>327</v>
      </c>
      <c r="B28" s="30">
        <v>112</v>
      </c>
      <c r="C28" s="30" t="str">
        <f t="shared" si="5"/>
        <v>3</v>
      </c>
      <c r="D28" s="30" t="str">
        <f t="shared" si="6"/>
        <v>32</v>
      </c>
      <c r="E28" s="26" t="str">
        <f t="shared" si="7"/>
        <v>323</v>
      </c>
      <c r="F28" s="26" t="s">
        <v>100</v>
      </c>
      <c r="G28" s="26" t="s">
        <v>101</v>
      </c>
      <c r="H28" s="26" t="s">
        <v>102</v>
      </c>
      <c r="I28" s="27">
        <v>54000</v>
      </c>
      <c r="J28" s="27">
        <v>25415</v>
      </c>
      <c r="K28" s="27">
        <v>28585</v>
      </c>
      <c r="L28" s="27">
        <v>0</v>
      </c>
      <c r="M28" s="27">
        <v>25415</v>
      </c>
      <c r="N28" s="27">
        <v>0</v>
      </c>
      <c r="O28" s="27">
        <v>28585</v>
      </c>
      <c r="P28" s="28">
        <v>0.47099999999999997</v>
      </c>
      <c r="Q28" s="27">
        <f t="shared" si="9"/>
        <v>25415</v>
      </c>
      <c r="R28" s="27"/>
      <c r="S28" s="27">
        <f t="shared" si="8"/>
        <v>25415</v>
      </c>
      <c r="T28" s="27">
        <f t="shared" si="10"/>
        <v>25415</v>
      </c>
      <c r="U28" s="27">
        <v>25415</v>
      </c>
      <c r="V28" s="27">
        <f t="shared" si="11"/>
        <v>0</v>
      </c>
      <c r="W28" s="27"/>
      <c r="X28" s="27">
        <f t="shared" si="12"/>
        <v>25415</v>
      </c>
      <c r="Y28" s="27">
        <f t="shared" si="13"/>
        <v>0</v>
      </c>
      <c r="Z28" s="27"/>
      <c r="AF28" s="27">
        <v>25415</v>
      </c>
    </row>
    <row r="29" spans="1:32" ht="20.100000000000001" customHeight="1" outlineLevel="1" x14ac:dyDescent="0.2">
      <c r="A29" s="26" t="s">
        <v>327</v>
      </c>
      <c r="B29" s="30">
        <v>112</v>
      </c>
      <c r="C29" s="30" t="str">
        <f t="shared" si="5"/>
        <v>3</v>
      </c>
      <c r="D29" s="30" t="str">
        <f t="shared" si="6"/>
        <v>32</v>
      </c>
      <c r="E29" s="26" t="str">
        <f t="shared" si="7"/>
        <v>323</v>
      </c>
      <c r="F29" s="26" t="s">
        <v>41</v>
      </c>
      <c r="G29" s="26" t="s">
        <v>103</v>
      </c>
      <c r="H29" s="26" t="s">
        <v>43</v>
      </c>
      <c r="I29" s="27">
        <v>95600</v>
      </c>
      <c r="J29" s="27">
        <v>107777.74</v>
      </c>
      <c r="K29" s="27">
        <v>-12177.74</v>
      </c>
      <c r="L29" s="27">
        <v>0</v>
      </c>
      <c r="M29" s="27">
        <v>107777.74</v>
      </c>
      <c r="N29" s="27">
        <v>0</v>
      </c>
      <c r="O29" s="27">
        <v>-12177.74</v>
      </c>
      <c r="P29" s="28">
        <v>1.127</v>
      </c>
      <c r="Q29" s="27">
        <f t="shared" si="9"/>
        <v>107777.74</v>
      </c>
      <c r="R29" s="27"/>
      <c r="S29" s="27">
        <f t="shared" si="8"/>
        <v>107777.74</v>
      </c>
      <c r="T29" s="27">
        <f t="shared" si="10"/>
        <v>107777.74</v>
      </c>
      <c r="U29" s="27">
        <v>111712.14</v>
      </c>
      <c r="V29" s="27">
        <f t="shared" si="11"/>
        <v>-3934.3999999999942</v>
      </c>
      <c r="W29" s="27"/>
      <c r="X29" s="27">
        <f t="shared" si="12"/>
        <v>111712.14</v>
      </c>
      <c r="Y29" s="27">
        <f t="shared" si="13"/>
        <v>-3934.3999999999942</v>
      </c>
      <c r="Z29" s="27"/>
      <c r="AF29" s="27">
        <v>111712.14</v>
      </c>
    </row>
    <row r="30" spans="1:32" ht="20.100000000000001" customHeight="1" outlineLevel="1" x14ac:dyDescent="0.2">
      <c r="A30" s="26" t="s">
        <v>327</v>
      </c>
      <c r="B30" s="30">
        <v>112</v>
      </c>
      <c r="C30" s="30" t="str">
        <f t="shared" si="5"/>
        <v>3</v>
      </c>
      <c r="D30" s="30" t="str">
        <f t="shared" si="6"/>
        <v>32</v>
      </c>
      <c r="E30" s="26" t="str">
        <f t="shared" si="7"/>
        <v>323</v>
      </c>
      <c r="F30" s="26" t="s">
        <v>104</v>
      </c>
      <c r="G30" s="26" t="s">
        <v>105</v>
      </c>
      <c r="H30" s="26" t="s">
        <v>106</v>
      </c>
      <c r="I30" s="27">
        <v>50000</v>
      </c>
      <c r="J30" s="27">
        <v>50000</v>
      </c>
      <c r="K30" s="27">
        <v>0</v>
      </c>
      <c r="L30" s="27">
        <v>0</v>
      </c>
      <c r="M30" s="27">
        <v>50000</v>
      </c>
      <c r="N30" s="27">
        <v>0</v>
      </c>
      <c r="O30" s="27">
        <v>0</v>
      </c>
      <c r="P30" s="28">
        <v>1</v>
      </c>
      <c r="Q30" s="27">
        <f t="shared" si="9"/>
        <v>50000</v>
      </c>
      <c r="R30" s="27"/>
      <c r="S30" s="27">
        <f t="shared" si="8"/>
        <v>50000</v>
      </c>
      <c r="T30" s="27">
        <f t="shared" si="10"/>
        <v>50000</v>
      </c>
      <c r="U30" s="27">
        <v>50000</v>
      </c>
      <c r="V30" s="27">
        <f t="shared" si="11"/>
        <v>0</v>
      </c>
      <c r="W30" s="27"/>
      <c r="X30" s="27">
        <f t="shared" si="12"/>
        <v>50000</v>
      </c>
      <c r="Y30" s="27">
        <f t="shared" si="13"/>
        <v>0</v>
      </c>
      <c r="Z30" s="27"/>
      <c r="AF30" s="27">
        <v>50000</v>
      </c>
    </row>
    <row r="31" spans="1:32" ht="20.100000000000001" customHeight="1" outlineLevel="1" x14ac:dyDescent="0.2">
      <c r="A31" s="26" t="s">
        <v>327</v>
      </c>
      <c r="B31" s="30">
        <v>112</v>
      </c>
      <c r="C31" s="30" t="str">
        <f t="shared" si="5"/>
        <v>3</v>
      </c>
      <c r="D31" s="30" t="str">
        <f t="shared" si="6"/>
        <v>32</v>
      </c>
      <c r="E31" s="26" t="str">
        <f t="shared" si="7"/>
        <v>329</v>
      </c>
      <c r="F31" s="26" t="s">
        <v>107</v>
      </c>
      <c r="G31" s="26" t="s">
        <v>108</v>
      </c>
      <c r="H31" s="26" t="s">
        <v>109</v>
      </c>
      <c r="I31" s="27">
        <v>4000</v>
      </c>
      <c r="J31" s="27">
        <v>5350.82</v>
      </c>
      <c r="K31" s="27">
        <v>-1350.82</v>
      </c>
      <c r="L31" s="27">
        <v>0</v>
      </c>
      <c r="M31" s="27">
        <v>5350.82</v>
      </c>
      <c r="N31" s="27">
        <v>0</v>
      </c>
      <c r="O31" s="27">
        <v>-1350.82</v>
      </c>
      <c r="P31" s="28">
        <v>1.3380000000000001</v>
      </c>
      <c r="Q31" s="27">
        <f t="shared" si="9"/>
        <v>5350.82</v>
      </c>
      <c r="R31" s="27">
        <v>570.78</v>
      </c>
      <c r="S31" s="27">
        <f t="shared" si="8"/>
        <v>5921.5999999999995</v>
      </c>
      <c r="T31" s="27">
        <f t="shared" si="10"/>
        <v>5921.5999999999995</v>
      </c>
      <c r="U31" s="27">
        <v>5083.92</v>
      </c>
      <c r="V31" s="27">
        <f t="shared" si="11"/>
        <v>837.67999999999938</v>
      </c>
      <c r="W31" s="27"/>
      <c r="X31" s="27">
        <f t="shared" si="12"/>
        <v>5083.92</v>
      </c>
      <c r="Y31" s="27">
        <f t="shared" si="13"/>
        <v>837.67999999999938</v>
      </c>
      <c r="Z31" s="27"/>
      <c r="AF31" s="27">
        <v>5083.92</v>
      </c>
    </row>
    <row r="32" spans="1:32" ht="20.100000000000001" customHeight="1" outlineLevel="1" x14ac:dyDescent="0.2">
      <c r="A32" s="26" t="s">
        <v>327</v>
      </c>
      <c r="B32" s="30">
        <v>112</v>
      </c>
      <c r="C32" s="30" t="str">
        <f t="shared" si="5"/>
        <v>3</v>
      </c>
      <c r="D32" s="30" t="str">
        <f t="shared" si="6"/>
        <v>32</v>
      </c>
      <c r="E32" s="26" t="str">
        <f t="shared" si="7"/>
        <v>329</v>
      </c>
      <c r="F32" s="26" t="s">
        <v>110</v>
      </c>
      <c r="G32" s="26" t="s">
        <v>111</v>
      </c>
      <c r="H32" s="26" t="s">
        <v>112</v>
      </c>
      <c r="I32" s="27">
        <v>25000</v>
      </c>
      <c r="J32" s="27">
        <v>24824.87</v>
      </c>
      <c r="K32" s="27">
        <v>175.13</v>
      </c>
      <c r="L32" s="27">
        <v>0</v>
      </c>
      <c r="M32" s="27">
        <v>24824.87</v>
      </c>
      <c r="N32" s="27">
        <v>0</v>
      </c>
      <c r="O32" s="27">
        <v>175.13</v>
      </c>
      <c r="P32" s="28">
        <v>0.99299999999999999</v>
      </c>
      <c r="Q32" s="27">
        <f t="shared" si="9"/>
        <v>24824.87</v>
      </c>
      <c r="R32" s="27"/>
      <c r="S32" s="27">
        <f t="shared" si="8"/>
        <v>24824.87</v>
      </c>
      <c r="T32" s="27">
        <f t="shared" si="10"/>
        <v>24824.87</v>
      </c>
      <c r="U32" s="27">
        <v>24824.87</v>
      </c>
      <c r="V32" s="27">
        <f t="shared" si="11"/>
        <v>0</v>
      </c>
      <c r="W32" s="27"/>
      <c r="X32" s="27">
        <f t="shared" si="12"/>
        <v>24824.87</v>
      </c>
      <c r="Y32" s="27">
        <f t="shared" si="13"/>
        <v>0</v>
      </c>
      <c r="Z32" s="27"/>
      <c r="AF32" s="27">
        <v>24824.87</v>
      </c>
    </row>
    <row r="33" spans="1:34" ht="20.100000000000001" customHeight="1" outlineLevel="1" x14ac:dyDescent="0.2">
      <c r="A33" s="26" t="s">
        <v>327</v>
      </c>
      <c r="B33" s="30">
        <v>112</v>
      </c>
      <c r="C33" s="30" t="str">
        <f t="shared" si="5"/>
        <v>3</v>
      </c>
      <c r="D33" s="30" t="str">
        <f t="shared" si="6"/>
        <v>32</v>
      </c>
      <c r="E33" s="26" t="str">
        <f t="shared" si="7"/>
        <v>329</v>
      </c>
      <c r="F33" s="26" t="s">
        <v>113</v>
      </c>
      <c r="G33" s="26" t="s">
        <v>114</v>
      </c>
      <c r="H33" s="26" t="s">
        <v>115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8">
        <v>0</v>
      </c>
      <c r="Q33" s="27">
        <f t="shared" si="9"/>
        <v>0</v>
      </c>
      <c r="R33" s="27"/>
      <c r="S33" s="27">
        <f t="shared" si="8"/>
        <v>0</v>
      </c>
      <c r="T33" s="27">
        <f t="shared" si="10"/>
        <v>0</v>
      </c>
      <c r="U33" s="27"/>
      <c r="V33" s="27">
        <f t="shared" si="11"/>
        <v>0</v>
      </c>
      <c r="W33" s="27"/>
      <c r="X33" s="27">
        <f t="shared" si="12"/>
        <v>0</v>
      </c>
      <c r="Y33" s="27">
        <f t="shared" si="13"/>
        <v>0</v>
      </c>
      <c r="Z33" s="27"/>
      <c r="AF33" s="27">
        <v>0</v>
      </c>
    </row>
    <row r="34" spans="1:34" ht="20.100000000000001" customHeight="1" outlineLevel="1" x14ac:dyDescent="0.2">
      <c r="A34" s="26" t="s">
        <v>327</v>
      </c>
      <c r="B34" s="30">
        <v>112</v>
      </c>
      <c r="C34" s="30" t="str">
        <f t="shared" si="5"/>
        <v>3</v>
      </c>
      <c r="D34" s="30" t="str">
        <f t="shared" si="6"/>
        <v>32</v>
      </c>
      <c r="E34" s="26" t="str">
        <f t="shared" si="7"/>
        <v>329</v>
      </c>
      <c r="F34" s="26" t="s">
        <v>116</v>
      </c>
      <c r="G34" s="26" t="s">
        <v>117</v>
      </c>
      <c r="H34" s="26" t="s">
        <v>118</v>
      </c>
      <c r="I34" s="27">
        <v>1000</v>
      </c>
      <c r="J34" s="27">
        <v>14618</v>
      </c>
      <c r="K34" s="27">
        <v>-13618</v>
      </c>
      <c r="L34" s="27">
        <v>0</v>
      </c>
      <c r="M34" s="27">
        <v>14618</v>
      </c>
      <c r="N34" s="27">
        <v>0</v>
      </c>
      <c r="O34" s="27">
        <v>-13618</v>
      </c>
      <c r="P34" s="28">
        <v>14.618</v>
      </c>
      <c r="Q34" s="27">
        <f t="shared" si="9"/>
        <v>14618</v>
      </c>
      <c r="R34" s="27"/>
      <c r="S34" s="27">
        <f t="shared" si="8"/>
        <v>14618</v>
      </c>
      <c r="T34" s="27">
        <f t="shared" si="10"/>
        <v>14618</v>
      </c>
      <c r="U34" s="27">
        <v>14618</v>
      </c>
      <c r="V34" s="27">
        <f t="shared" si="11"/>
        <v>0</v>
      </c>
      <c r="W34" s="27"/>
      <c r="X34" s="27">
        <f t="shared" si="12"/>
        <v>14618</v>
      </c>
      <c r="Y34" s="27">
        <f t="shared" si="13"/>
        <v>0</v>
      </c>
      <c r="Z34" s="27"/>
      <c r="AF34" s="27">
        <v>14618</v>
      </c>
    </row>
    <row r="35" spans="1:34" ht="20.100000000000001" customHeight="1" outlineLevel="1" x14ac:dyDescent="0.2">
      <c r="A35" s="26" t="s">
        <v>327</v>
      </c>
      <c r="B35" s="30">
        <v>112</v>
      </c>
      <c r="C35" s="30" t="str">
        <f t="shared" si="5"/>
        <v>3</v>
      </c>
      <c r="D35" s="30" t="str">
        <f t="shared" si="6"/>
        <v>34</v>
      </c>
      <c r="E35" s="26" t="str">
        <f t="shared" si="7"/>
        <v>343</v>
      </c>
      <c r="F35" s="26" t="s">
        <v>119</v>
      </c>
      <c r="G35" s="26" t="s">
        <v>120</v>
      </c>
      <c r="H35" s="26" t="s">
        <v>121</v>
      </c>
      <c r="I35" s="27">
        <v>1000</v>
      </c>
      <c r="J35" s="27">
        <v>1000</v>
      </c>
      <c r="K35" s="27">
        <v>0</v>
      </c>
      <c r="L35" s="27">
        <v>0</v>
      </c>
      <c r="M35" s="27">
        <v>1000</v>
      </c>
      <c r="N35" s="27">
        <v>0</v>
      </c>
      <c r="O35" s="27">
        <v>0</v>
      </c>
      <c r="P35" s="28">
        <v>1</v>
      </c>
      <c r="Q35" s="27">
        <f t="shared" si="9"/>
        <v>1000</v>
      </c>
      <c r="R35" s="27"/>
      <c r="S35" s="27">
        <f t="shared" si="8"/>
        <v>1000</v>
      </c>
      <c r="T35" s="27">
        <f t="shared" si="10"/>
        <v>1000</v>
      </c>
      <c r="U35" s="27">
        <v>1000</v>
      </c>
      <c r="V35" s="27">
        <f t="shared" si="11"/>
        <v>0</v>
      </c>
      <c r="W35" s="27"/>
      <c r="X35" s="27">
        <f t="shared" si="12"/>
        <v>1000</v>
      </c>
      <c r="Y35" s="27">
        <f t="shared" si="13"/>
        <v>0</v>
      </c>
      <c r="Z35" s="27"/>
      <c r="AF35" s="27">
        <v>1000</v>
      </c>
    </row>
    <row r="36" spans="1:34" ht="20.100000000000001" customHeight="1" outlineLevel="1" x14ac:dyDescent="0.2">
      <c r="A36" s="26" t="s">
        <v>327</v>
      </c>
      <c r="B36" s="30">
        <v>112</v>
      </c>
      <c r="C36" s="30" t="str">
        <f t="shared" si="5"/>
        <v>3</v>
      </c>
      <c r="D36" s="30" t="str">
        <f t="shared" si="6"/>
        <v>36</v>
      </c>
      <c r="E36" s="26" t="str">
        <f t="shared" si="7"/>
        <v>369</v>
      </c>
      <c r="F36" s="26" t="s">
        <v>122</v>
      </c>
      <c r="G36" s="26" t="s">
        <v>123</v>
      </c>
      <c r="H36" s="26" t="s">
        <v>124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8">
        <v>0</v>
      </c>
      <c r="Q36" s="27">
        <f t="shared" si="9"/>
        <v>0</v>
      </c>
      <c r="R36" s="27"/>
      <c r="S36" s="27">
        <f t="shared" si="8"/>
        <v>0</v>
      </c>
      <c r="T36" s="27">
        <f t="shared" si="10"/>
        <v>0</v>
      </c>
      <c r="U36" s="27"/>
      <c r="V36" s="27">
        <f t="shared" si="11"/>
        <v>0</v>
      </c>
      <c r="W36" s="27"/>
      <c r="X36" s="27">
        <f t="shared" si="12"/>
        <v>0</v>
      </c>
      <c r="Y36" s="27">
        <f t="shared" si="13"/>
        <v>0</v>
      </c>
      <c r="Z36" s="27"/>
      <c r="AF36" s="27">
        <v>0</v>
      </c>
    </row>
    <row r="37" spans="1:34" ht="20.100000000000001" customHeight="1" x14ac:dyDescent="0.2">
      <c r="F37" s="216" t="s">
        <v>125</v>
      </c>
      <c r="G37" s="216"/>
      <c r="H37" s="216"/>
      <c r="I37" s="52">
        <f>SUMIFS(I38:I208,$A38:$A208,"A212401",$B38:$B208,"311")</f>
        <v>18300</v>
      </c>
      <c r="J37" s="52">
        <f t="shared" ref="J37:V37" si="14">SUMIFS(J38:J208,$A38:$A208,"A212401",$B38:$B208,"311")</f>
        <v>0</v>
      </c>
      <c r="K37" s="52">
        <f t="shared" si="14"/>
        <v>18300</v>
      </c>
      <c r="L37" s="52">
        <f t="shared" si="14"/>
        <v>0</v>
      </c>
      <c r="M37" s="52">
        <f t="shared" si="14"/>
        <v>0</v>
      </c>
      <c r="N37" s="52">
        <f t="shared" si="14"/>
        <v>0</v>
      </c>
      <c r="O37" s="52">
        <f t="shared" si="14"/>
        <v>18300</v>
      </c>
      <c r="P37" s="53">
        <v>0</v>
      </c>
      <c r="Q37" s="52">
        <f t="shared" si="14"/>
        <v>0</v>
      </c>
      <c r="R37" s="52">
        <f t="shared" si="14"/>
        <v>0</v>
      </c>
      <c r="S37" s="52">
        <f t="shared" si="14"/>
        <v>0</v>
      </c>
      <c r="T37" s="52">
        <f>SUMIFS(T38:T208,$A38:$A208,"A212401",$B38:$B208,"311")</f>
        <v>8389.26</v>
      </c>
      <c r="U37" s="52">
        <f t="shared" si="14"/>
        <v>8389.26</v>
      </c>
      <c r="V37" s="52">
        <f t="shared" si="14"/>
        <v>0</v>
      </c>
      <c r="W37" s="52">
        <f>SUMIFS(W38:W208,$A38:$A208,"A212401",$B38:$B208,"311")</f>
        <v>0</v>
      </c>
      <c r="X37" s="52">
        <f>SUMIFS(X38:X208,$A38:$A208,"A212401",$B38:$B208,"311")</f>
        <v>8389.26</v>
      </c>
      <c r="Y37" s="52">
        <f>SUMIFS(Y38:Y208,$A38:$A208,"A212401",$B38:$B208,"311")</f>
        <v>0</v>
      </c>
      <c r="Z37" s="52"/>
      <c r="AF37" s="52">
        <v>8389.26</v>
      </c>
    </row>
    <row r="38" spans="1:34" ht="20.100000000000001" customHeight="1" outlineLevel="1" x14ac:dyDescent="0.2">
      <c r="A38" s="26" t="s">
        <v>327</v>
      </c>
      <c r="B38" s="30">
        <v>311</v>
      </c>
      <c r="C38" s="30" t="str">
        <f>LEFT(F38,1)</f>
        <v>3</v>
      </c>
      <c r="D38" s="30" t="str">
        <f>LEFT(F38,2)</f>
        <v>32</v>
      </c>
      <c r="E38" s="26" t="str">
        <f t="shared" ref="E38:E103" si="15">LEFT(F38,3)</f>
        <v>323</v>
      </c>
      <c r="F38" s="26" t="s">
        <v>126</v>
      </c>
      <c r="G38" s="26" t="s">
        <v>127</v>
      </c>
      <c r="H38" s="26" t="s">
        <v>128</v>
      </c>
      <c r="I38" s="27">
        <v>18300</v>
      </c>
      <c r="J38" s="27">
        <v>0</v>
      </c>
      <c r="K38" s="27">
        <v>18300</v>
      </c>
      <c r="L38" s="27">
        <v>0</v>
      </c>
      <c r="M38" s="27">
        <v>0</v>
      </c>
      <c r="N38" s="27">
        <v>0</v>
      </c>
      <c r="O38" s="27">
        <v>18300</v>
      </c>
      <c r="P38" s="28">
        <v>0</v>
      </c>
      <c r="Q38" s="27">
        <f>J38</f>
        <v>0</v>
      </c>
      <c r="R38" s="27"/>
      <c r="S38" s="27">
        <f>R38+Q38</f>
        <v>0</v>
      </c>
      <c r="T38" s="27">
        <f>U38</f>
        <v>8389.26</v>
      </c>
      <c r="U38" s="27">
        <v>8389.26</v>
      </c>
      <c r="V38" s="27">
        <f t="shared" si="11"/>
        <v>0</v>
      </c>
      <c r="W38" s="27"/>
      <c r="X38" s="27">
        <f t="shared" si="12"/>
        <v>8389.26</v>
      </c>
      <c r="Y38" s="27">
        <f t="shared" si="13"/>
        <v>0</v>
      </c>
      <c r="Z38" s="27"/>
      <c r="AF38" s="27">
        <v>8389.26</v>
      </c>
    </row>
    <row r="39" spans="1:34" ht="20.100000000000001" customHeight="1" x14ac:dyDescent="0.2">
      <c r="F39" s="216" t="s">
        <v>129</v>
      </c>
      <c r="G39" s="216"/>
      <c r="H39" s="216"/>
      <c r="I39" s="52">
        <f>SUMIFS(I40:I210,$A40:$A210,"A212401",$B40:$B210,"431")</f>
        <v>963300</v>
      </c>
      <c r="J39" s="52">
        <f t="shared" ref="J39:V39" si="16">SUMIFS(J40:J210,$A40:$A210,"A212401",$B40:$B210,"431")</f>
        <v>359408.36</v>
      </c>
      <c r="K39" s="52">
        <f t="shared" si="16"/>
        <v>603891.64</v>
      </c>
      <c r="L39" s="52">
        <f t="shared" si="16"/>
        <v>0</v>
      </c>
      <c r="M39" s="52">
        <f t="shared" si="16"/>
        <v>359408.36000000004</v>
      </c>
      <c r="N39" s="52">
        <f t="shared" si="16"/>
        <v>0</v>
      </c>
      <c r="O39" s="52">
        <f t="shared" si="16"/>
        <v>603891.64</v>
      </c>
      <c r="P39" s="53">
        <v>0.373</v>
      </c>
      <c r="Q39" s="52">
        <f t="shared" si="16"/>
        <v>359408.36</v>
      </c>
      <c r="R39" s="52">
        <f t="shared" si="16"/>
        <v>0</v>
      </c>
      <c r="S39" s="52">
        <f t="shared" si="16"/>
        <v>359408.36</v>
      </c>
      <c r="T39" s="52">
        <f>SUMIFS(T40:T210,$A40:$A210,"A212401",$B40:$B210,"431")</f>
        <v>826259.47999999975</v>
      </c>
      <c r="U39" s="52">
        <f t="shared" si="16"/>
        <v>826259.47999999975</v>
      </c>
      <c r="V39" s="52">
        <f t="shared" si="16"/>
        <v>0</v>
      </c>
      <c r="W39" s="52">
        <f>SUMIFS(W40:W210,$A40:$A210,"A212401",$B40:$B210,"431")</f>
        <v>-40.75</v>
      </c>
      <c r="X39" s="52">
        <f>SUMIFS(X40:X210,$A40:$A210,"A212401",$B40:$B210,"431")</f>
        <v>826218.72999999975</v>
      </c>
      <c r="Y39" s="52">
        <f>SUMIFS(Y40:Y210,$A40:$A210,"A212401",$B40:$B210,"431")</f>
        <v>40.75</v>
      </c>
      <c r="Z39" s="52"/>
      <c r="AF39" s="52">
        <v>826259.47999999975</v>
      </c>
      <c r="AH39" s="36" t="s">
        <v>373</v>
      </c>
    </row>
    <row r="40" spans="1:34" ht="20.100000000000001" customHeight="1" outlineLevel="1" x14ac:dyDescent="0.2">
      <c r="A40" s="26" t="s">
        <v>327</v>
      </c>
      <c r="B40" s="30">
        <v>431</v>
      </c>
      <c r="C40" s="30" t="str">
        <f t="shared" ref="C40:C65" si="17">LEFT(F40,1)</f>
        <v>3</v>
      </c>
      <c r="D40" s="30" t="str">
        <f t="shared" ref="D40:D65" si="18">LEFT(F40,2)</f>
        <v>32</v>
      </c>
      <c r="E40" s="26" t="str">
        <f t="shared" si="15"/>
        <v>321</v>
      </c>
      <c r="F40" s="26" t="s">
        <v>130</v>
      </c>
      <c r="G40" s="26" t="s">
        <v>131</v>
      </c>
      <c r="H40" s="26" t="s">
        <v>132</v>
      </c>
      <c r="I40" s="27">
        <v>12000</v>
      </c>
      <c r="J40" s="27">
        <f>I40-K40</f>
        <v>2581.08</v>
      </c>
      <c r="K40" s="27">
        <v>9418.92</v>
      </c>
      <c r="L40" s="27">
        <v>0</v>
      </c>
      <c r="M40" s="27">
        <v>2581.08</v>
      </c>
      <c r="N40" s="27">
        <v>0</v>
      </c>
      <c r="O40" s="27">
        <v>9418.92</v>
      </c>
      <c r="P40" s="28">
        <v>0.215</v>
      </c>
      <c r="Q40" s="27">
        <f t="shared" ref="Q40:Q65" si="19">J40</f>
        <v>2581.08</v>
      </c>
      <c r="R40" s="27"/>
      <c r="S40" s="27">
        <f t="shared" ref="S40:S65" si="20">R40+Q40</f>
        <v>2581.08</v>
      </c>
      <c r="T40" s="27">
        <f>U40</f>
        <v>21376.04</v>
      </c>
      <c r="U40" s="27">
        <v>21376.04</v>
      </c>
      <c r="V40" s="27">
        <f t="shared" si="11"/>
        <v>0</v>
      </c>
      <c r="W40" s="27"/>
      <c r="X40" s="27">
        <f t="shared" si="12"/>
        <v>21376.04</v>
      </c>
      <c r="Y40" s="27">
        <f t="shared" si="13"/>
        <v>0</v>
      </c>
      <c r="Z40" s="27"/>
      <c r="AF40" s="27">
        <v>21376.04</v>
      </c>
    </row>
    <row r="41" spans="1:34" ht="20.100000000000001" customHeight="1" outlineLevel="1" x14ac:dyDescent="0.2">
      <c r="A41" s="26" t="s">
        <v>327</v>
      </c>
      <c r="B41" s="30">
        <v>431</v>
      </c>
      <c r="C41" s="30" t="str">
        <f>LEFT(F41,1)</f>
        <v>3</v>
      </c>
      <c r="D41" s="30" t="str">
        <f>LEFT(F41,2)</f>
        <v>32</v>
      </c>
      <c r="E41" s="26" t="str">
        <f>LEFT(F41,3)</f>
        <v>321</v>
      </c>
      <c r="F41" s="65">
        <v>3212</v>
      </c>
      <c r="G41" s="64"/>
      <c r="H41" s="26" t="s">
        <v>68</v>
      </c>
      <c r="I41" s="27"/>
      <c r="J41" s="27">
        <f t="shared" ref="J41:J104" si="21">I41-K41</f>
        <v>0</v>
      </c>
      <c r="K41" s="27"/>
      <c r="L41" s="27"/>
      <c r="M41" s="27"/>
      <c r="N41" s="27"/>
      <c r="O41" s="27"/>
      <c r="P41" s="28"/>
      <c r="Q41" s="27">
        <f t="shared" si="19"/>
        <v>0</v>
      </c>
      <c r="R41" s="27"/>
      <c r="S41" s="27">
        <f t="shared" si="20"/>
        <v>0</v>
      </c>
      <c r="T41" s="27">
        <f t="shared" ref="T41:T104" si="22">U41</f>
        <v>9.4499999999999993</v>
      </c>
      <c r="U41" s="27">
        <v>9.4499999999999993</v>
      </c>
      <c r="V41" s="27">
        <f t="shared" si="11"/>
        <v>0</v>
      </c>
      <c r="W41" s="27"/>
      <c r="X41" s="27">
        <f t="shared" si="12"/>
        <v>9.4499999999999993</v>
      </c>
      <c r="Y41" s="27">
        <f t="shared" si="13"/>
        <v>0</v>
      </c>
      <c r="Z41" s="27"/>
      <c r="AF41" s="27">
        <v>9.4499999999999993</v>
      </c>
    </row>
    <row r="42" spans="1:34" ht="20.100000000000001" customHeight="1" outlineLevel="1" x14ac:dyDescent="0.2">
      <c r="A42" s="26" t="s">
        <v>327</v>
      </c>
      <c r="B42" s="30">
        <v>431</v>
      </c>
      <c r="C42" s="30" t="str">
        <f t="shared" si="17"/>
        <v>3</v>
      </c>
      <c r="D42" s="30" t="str">
        <f t="shared" si="18"/>
        <v>32</v>
      </c>
      <c r="E42" s="26" t="str">
        <f t="shared" si="15"/>
        <v>321</v>
      </c>
      <c r="F42" s="26" t="s">
        <v>69</v>
      </c>
      <c r="G42" s="26" t="s">
        <v>133</v>
      </c>
      <c r="H42" s="26" t="s">
        <v>71</v>
      </c>
      <c r="I42" s="27">
        <v>5000</v>
      </c>
      <c r="J42" s="27">
        <f t="shared" si="21"/>
        <v>480</v>
      </c>
      <c r="K42" s="27">
        <v>4520</v>
      </c>
      <c r="L42" s="27">
        <v>0</v>
      </c>
      <c r="M42" s="27">
        <v>480</v>
      </c>
      <c r="N42" s="27">
        <v>0</v>
      </c>
      <c r="O42" s="27">
        <v>4520</v>
      </c>
      <c r="P42" s="28">
        <v>9.6000000000000002E-2</v>
      </c>
      <c r="Q42" s="27">
        <f t="shared" si="19"/>
        <v>480</v>
      </c>
      <c r="R42" s="27"/>
      <c r="S42" s="27">
        <f t="shared" si="20"/>
        <v>480</v>
      </c>
      <c r="T42" s="27">
        <f t="shared" si="22"/>
        <v>1051.75</v>
      </c>
      <c r="U42" s="27">
        <v>1051.75</v>
      </c>
      <c r="V42" s="27">
        <f t="shared" si="11"/>
        <v>0</v>
      </c>
      <c r="W42" s="27"/>
      <c r="X42" s="27">
        <f t="shared" si="12"/>
        <v>1051.75</v>
      </c>
      <c r="Y42" s="27">
        <f t="shared" si="13"/>
        <v>0</v>
      </c>
      <c r="Z42" s="27"/>
      <c r="AF42" s="27">
        <v>1051.75</v>
      </c>
    </row>
    <row r="43" spans="1:34" ht="20.100000000000001" customHeight="1" outlineLevel="1" x14ac:dyDescent="0.2">
      <c r="A43" s="26" t="s">
        <v>327</v>
      </c>
      <c r="B43" s="30">
        <v>431</v>
      </c>
      <c r="C43" s="30" t="str">
        <f t="shared" si="17"/>
        <v>3</v>
      </c>
      <c r="D43" s="30" t="str">
        <f t="shared" si="18"/>
        <v>32</v>
      </c>
      <c r="E43" s="26" t="str">
        <f t="shared" si="15"/>
        <v>322</v>
      </c>
      <c r="F43" s="26" t="s">
        <v>72</v>
      </c>
      <c r="G43" s="26" t="s">
        <v>134</v>
      </c>
      <c r="H43" s="26" t="s">
        <v>74</v>
      </c>
      <c r="I43" s="27">
        <v>73000</v>
      </c>
      <c r="J43" s="27">
        <f t="shared" si="21"/>
        <v>28140.589999999997</v>
      </c>
      <c r="K43" s="27">
        <v>44859.41</v>
      </c>
      <c r="L43" s="27">
        <v>0</v>
      </c>
      <c r="M43" s="27">
        <v>28140.59</v>
      </c>
      <c r="N43" s="27">
        <v>0</v>
      </c>
      <c r="O43" s="27">
        <v>44859.41</v>
      </c>
      <c r="P43" s="28">
        <v>0.38600000000000001</v>
      </c>
      <c r="Q43" s="27">
        <f t="shared" si="19"/>
        <v>28140.589999999997</v>
      </c>
      <c r="R43" s="27"/>
      <c r="S43" s="27">
        <f t="shared" si="20"/>
        <v>28140.589999999997</v>
      </c>
      <c r="T43" s="27">
        <f t="shared" si="22"/>
        <v>62702.37</v>
      </c>
      <c r="U43" s="27">
        <v>62702.37</v>
      </c>
      <c r="V43" s="27">
        <f t="shared" si="11"/>
        <v>0</v>
      </c>
      <c r="W43" s="27">
        <v>-40.75</v>
      </c>
      <c r="X43" s="27">
        <f t="shared" si="12"/>
        <v>62661.62</v>
      </c>
      <c r="Y43" s="27">
        <f t="shared" si="13"/>
        <v>40.75</v>
      </c>
      <c r="Z43" s="27"/>
      <c r="AF43" s="27">
        <v>62702.37</v>
      </c>
    </row>
    <row r="44" spans="1:34" ht="20.100000000000001" customHeight="1" outlineLevel="1" x14ac:dyDescent="0.2">
      <c r="A44" s="26" t="s">
        <v>327</v>
      </c>
      <c r="B44" s="30">
        <v>431</v>
      </c>
      <c r="C44" s="30" t="str">
        <f t="shared" si="17"/>
        <v>3</v>
      </c>
      <c r="D44" s="30" t="str">
        <f t="shared" si="18"/>
        <v>32</v>
      </c>
      <c r="E44" s="26" t="str">
        <f t="shared" si="15"/>
        <v>322</v>
      </c>
      <c r="F44" s="26" t="s">
        <v>75</v>
      </c>
      <c r="G44" s="26" t="s">
        <v>135</v>
      </c>
      <c r="H44" s="26" t="s">
        <v>77</v>
      </c>
      <c r="I44" s="27">
        <v>64000</v>
      </c>
      <c r="J44" s="27">
        <f t="shared" si="21"/>
        <v>26016.879999999997</v>
      </c>
      <c r="K44" s="27">
        <v>37983.120000000003</v>
      </c>
      <c r="L44" s="27">
        <v>0</v>
      </c>
      <c r="M44" s="27">
        <v>26016.880000000001</v>
      </c>
      <c r="N44" s="27">
        <v>0</v>
      </c>
      <c r="O44" s="27">
        <v>37983.120000000003</v>
      </c>
      <c r="P44" s="28">
        <v>0.40699999999999997</v>
      </c>
      <c r="Q44" s="27">
        <f t="shared" si="19"/>
        <v>26016.879999999997</v>
      </c>
      <c r="R44" s="27"/>
      <c r="S44" s="27">
        <f t="shared" si="20"/>
        <v>26016.879999999997</v>
      </c>
      <c r="T44" s="27">
        <f t="shared" si="22"/>
        <v>45710.93</v>
      </c>
      <c r="U44" s="27">
        <v>45710.93</v>
      </c>
      <c r="V44" s="27">
        <f t="shared" si="11"/>
        <v>0</v>
      </c>
      <c r="W44" s="27"/>
      <c r="X44" s="27">
        <f t="shared" si="12"/>
        <v>45710.93</v>
      </c>
      <c r="Y44" s="27">
        <f t="shared" si="13"/>
        <v>0</v>
      </c>
      <c r="Z44" s="27"/>
      <c r="AF44" s="27">
        <v>45710.93</v>
      </c>
    </row>
    <row r="45" spans="1:34" ht="20.100000000000001" customHeight="1" outlineLevel="1" x14ac:dyDescent="0.2">
      <c r="A45" s="26" t="s">
        <v>327</v>
      </c>
      <c r="B45" s="30">
        <v>431</v>
      </c>
      <c r="C45" s="30" t="str">
        <f>LEFT(F45,1)</f>
        <v>3</v>
      </c>
      <c r="D45" s="30" t="str">
        <f>LEFT(F45,2)</f>
        <v>32</v>
      </c>
      <c r="E45" s="26" t="str">
        <f>LEFT(F45,3)</f>
        <v>322</v>
      </c>
      <c r="F45" s="65">
        <v>3223</v>
      </c>
      <c r="G45" s="64" t="s">
        <v>135</v>
      </c>
      <c r="H45" s="26" t="s">
        <v>80</v>
      </c>
      <c r="I45" s="27"/>
      <c r="J45" s="27">
        <f t="shared" si="21"/>
        <v>0</v>
      </c>
      <c r="K45" s="27"/>
      <c r="L45" s="27"/>
      <c r="M45" s="27"/>
      <c r="N45" s="27"/>
      <c r="O45" s="27"/>
      <c r="P45" s="28"/>
      <c r="Q45" s="27">
        <f t="shared" si="19"/>
        <v>0</v>
      </c>
      <c r="R45" s="27"/>
      <c r="S45" s="27">
        <f t="shared" si="20"/>
        <v>0</v>
      </c>
      <c r="T45" s="27">
        <f t="shared" si="22"/>
        <v>4.59</v>
      </c>
      <c r="U45" s="27">
        <v>4.59</v>
      </c>
      <c r="V45" s="27">
        <f t="shared" si="11"/>
        <v>0</v>
      </c>
      <c r="W45" s="27"/>
      <c r="X45" s="27">
        <f t="shared" si="12"/>
        <v>4.59</v>
      </c>
      <c r="Y45" s="27">
        <f t="shared" si="13"/>
        <v>0</v>
      </c>
      <c r="Z45" s="27"/>
      <c r="AF45" s="27">
        <v>4.59</v>
      </c>
    </row>
    <row r="46" spans="1:34" ht="20.100000000000001" customHeight="1" outlineLevel="1" x14ac:dyDescent="0.2">
      <c r="A46" s="26" t="s">
        <v>327</v>
      </c>
      <c r="B46" s="30">
        <v>431</v>
      </c>
      <c r="C46" s="30" t="str">
        <f t="shared" si="17"/>
        <v>3</v>
      </c>
      <c r="D46" s="30" t="str">
        <f t="shared" si="18"/>
        <v>32</v>
      </c>
      <c r="E46" s="26" t="str">
        <f t="shared" si="15"/>
        <v>322</v>
      </c>
      <c r="F46" s="26" t="s">
        <v>81</v>
      </c>
      <c r="G46" s="26" t="s">
        <v>136</v>
      </c>
      <c r="H46" s="26" t="s">
        <v>83</v>
      </c>
      <c r="I46" s="27">
        <v>33000</v>
      </c>
      <c r="J46" s="27">
        <f t="shared" si="21"/>
        <v>13456.27</v>
      </c>
      <c r="K46" s="27">
        <v>19543.73</v>
      </c>
      <c r="L46" s="27">
        <v>0</v>
      </c>
      <c r="M46" s="27">
        <v>13456.27</v>
      </c>
      <c r="N46" s="27">
        <v>0</v>
      </c>
      <c r="O46" s="27">
        <v>19543.73</v>
      </c>
      <c r="P46" s="28">
        <v>0.40799999999999997</v>
      </c>
      <c r="Q46" s="27">
        <f t="shared" si="19"/>
        <v>13456.27</v>
      </c>
      <c r="R46" s="27"/>
      <c r="S46" s="27">
        <f t="shared" si="20"/>
        <v>13456.27</v>
      </c>
      <c r="T46" s="27">
        <f t="shared" si="22"/>
        <v>21583.88</v>
      </c>
      <c r="U46" s="27">
        <v>21583.88</v>
      </c>
      <c r="V46" s="27">
        <f t="shared" si="11"/>
        <v>0</v>
      </c>
      <c r="W46" s="27"/>
      <c r="X46" s="27">
        <f t="shared" si="12"/>
        <v>21583.88</v>
      </c>
      <c r="Y46" s="27">
        <f t="shared" si="13"/>
        <v>0</v>
      </c>
      <c r="Z46" s="27"/>
      <c r="AF46" s="27">
        <v>21583.88</v>
      </c>
    </row>
    <row r="47" spans="1:34" ht="20.100000000000001" customHeight="1" outlineLevel="1" x14ac:dyDescent="0.2">
      <c r="A47" s="26" t="s">
        <v>327</v>
      </c>
      <c r="B47" s="30">
        <v>431</v>
      </c>
      <c r="C47" s="30" t="str">
        <f t="shared" si="17"/>
        <v>3</v>
      </c>
      <c r="D47" s="30" t="str">
        <f t="shared" si="18"/>
        <v>32</v>
      </c>
      <c r="E47" s="26" t="str">
        <f t="shared" si="15"/>
        <v>322</v>
      </c>
      <c r="F47" s="26" t="s">
        <v>84</v>
      </c>
      <c r="G47" s="26" t="s">
        <v>137</v>
      </c>
      <c r="H47" s="26" t="s">
        <v>86</v>
      </c>
      <c r="I47" s="27">
        <v>5000</v>
      </c>
      <c r="J47" s="27">
        <f t="shared" si="21"/>
        <v>502.10000000000036</v>
      </c>
      <c r="K47" s="27">
        <v>4497.8999999999996</v>
      </c>
      <c r="L47" s="27">
        <v>0</v>
      </c>
      <c r="M47" s="27">
        <v>502.1</v>
      </c>
      <c r="N47" s="27">
        <v>0</v>
      </c>
      <c r="O47" s="27">
        <v>4497.8999999999996</v>
      </c>
      <c r="P47" s="28">
        <v>0.1</v>
      </c>
      <c r="Q47" s="27">
        <f t="shared" si="19"/>
        <v>502.10000000000036</v>
      </c>
      <c r="R47" s="27"/>
      <c r="S47" s="27">
        <f t="shared" si="20"/>
        <v>502.10000000000036</v>
      </c>
      <c r="T47" s="27">
        <f t="shared" si="22"/>
        <v>6176.81</v>
      </c>
      <c r="U47" s="27">
        <v>6176.81</v>
      </c>
      <c r="V47" s="27">
        <f t="shared" si="11"/>
        <v>0</v>
      </c>
      <c r="W47" s="27"/>
      <c r="X47" s="27">
        <f t="shared" si="12"/>
        <v>6176.81</v>
      </c>
      <c r="Y47" s="27">
        <f t="shared" si="13"/>
        <v>0</v>
      </c>
      <c r="Z47" s="27"/>
      <c r="AF47" s="27">
        <v>6176.81</v>
      </c>
    </row>
    <row r="48" spans="1:34" ht="20.100000000000001" customHeight="1" outlineLevel="1" x14ac:dyDescent="0.2">
      <c r="A48" s="26" t="s">
        <v>327</v>
      </c>
      <c r="B48" s="30">
        <v>431</v>
      </c>
      <c r="C48" s="30" t="str">
        <f t="shared" si="17"/>
        <v>3</v>
      </c>
      <c r="D48" s="30" t="str">
        <f t="shared" si="18"/>
        <v>32</v>
      </c>
      <c r="E48" s="26" t="str">
        <f t="shared" si="15"/>
        <v>322</v>
      </c>
      <c r="F48" s="26" t="s">
        <v>138</v>
      </c>
      <c r="G48" s="26" t="s">
        <v>139</v>
      </c>
      <c r="H48" s="26" t="s">
        <v>140</v>
      </c>
      <c r="I48" s="27">
        <v>4000</v>
      </c>
      <c r="J48" s="27">
        <f t="shared" si="21"/>
        <v>0</v>
      </c>
      <c r="K48" s="27">
        <v>4000</v>
      </c>
      <c r="L48" s="27">
        <v>0</v>
      </c>
      <c r="M48" s="27">
        <v>0</v>
      </c>
      <c r="N48" s="27">
        <v>0</v>
      </c>
      <c r="O48" s="27">
        <v>4000</v>
      </c>
      <c r="P48" s="28">
        <v>0</v>
      </c>
      <c r="Q48" s="27">
        <f t="shared" si="19"/>
        <v>0</v>
      </c>
      <c r="R48" s="27"/>
      <c r="S48" s="27">
        <f t="shared" si="20"/>
        <v>0</v>
      </c>
      <c r="T48" s="27">
        <f t="shared" si="22"/>
        <v>2740.27</v>
      </c>
      <c r="U48" s="27">
        <v>2740.27</v>
      </c>
      <c r="V48" s="27">
        <f t="shared" si="11"/>
        <v>0</v>
      </c>
      <c r="W48" s="27"/>
      <c r="X48" s="27">
        <f t="shared" si="12"/>
        <v>2740.27</v>
      </c>
      <c r="Y48" s="27">
        <f t="shared" si="13"/>
        <v>0</v>
      </c>
      <c r="Z48" s="27"/>
      <c r="AF48" s="27">
        <v>2740.27</v>
      </c>
    </row>
    <row r="49" spans="1:32" ht="20.100000000000001" customHeight="1" outlineLevel="1" x14ac:dyDescent="0.2">
      <c r="A49" s="26" t="s">
        <v>327</v>
      </c>
      <c r="B49" s="30">
        <v>431</v>
      </c>
      <c r="C49" s="30" t="str">
        <f t="shared" si="17"/>
        <v>3</v>
      </c>
      <c r="D49" s="30" t="str">
        <f t="shared" si="18"/>
        <v>32</v>
      </c>
      <c r="E49" s="26" t="str">
        <f t="shared" si="15"/>
        <v>323</v>
      </c>
      <c r="F49" s="26" t="s">
        <v>87</v>
      </c>
      <c r="G49" s="26" t="s">
        <v>141</v>
      </c>
      <c r="H49" s="26" t="s">
        <v>89</v>
      </c>
      <c r="I49" s="27">
        <v>86000</v>
      </c>
      <c r="J49" s="27">
        <f t="shared" si="21"/>
        <v>23222.160000000003</v>
      </c>
      <c r="K49" s="27">
        <v>62777.84</v>
      </c>
      <c r="L49" s="27">
        <v>0</v>
      </c>
      <c r="M49" s="27">
        <v>23222.16</v>
      </c>
      <c r="N49" s="27">
        <v>0</v>
      </c>
      <c r="O49" s="27">
        <v>62777.84</v>
      </c>
      <c r="P49" s="28">
        <v>0.27</v>
      </c>
      <c r="Q49" s="27">
        <f t="shared" si="19"/>
        <v>23222.160000000003</v>
      </c>
      <c r="R49" s="27"/>
      <c r="S49" s="27">
        <f t="shared" si="20"/>
        <v>23222.160000000003</v>
      </c>
      <c r="T49" s="27">
        <f t="shared" si="22"/>
        <v>63902.17</v>
      </c>
      <c r="U49" s="27">
        <v>63902.17</v>
      </c>
      <c r="V49" s="27">
        <f t="shared" si="11"/>
        <v>0</v>
      </c>
      <c r="W49" s="27"/>
      <c r="X49" s="27">
        <f t="shared" si="12"/>
        <v>63902.17</v>
      </c>
      <c r="Y49" s="27">
        <f t="shared" si="13"/>
        <v>0</v>
      </c>
      <c r="Z49" s="27"/>
      <c r="AF49" s="27">
        <v>63902.17</v>
      </c>
    </row>
    <row r="50" spans="1:32" ht="20.100000000000001" customHeight="1" outlineLevel="1" x14ac:dyDescent="0.2">
      <c r="A50" s="26" t="s">
        <v>327</v>
      </c>
      <c r="B50" s="30">
        <v>431</v>
      </c>
      <c r="C50" s="30" t="str">
        <f t="shared" si="17"/>
        <v>3</v>
      </c>
      <c r="D50" s="30" t="str">
        <f t="shared" si="18"/>
        <v>32</v>
      </c>
      <c r="E50" s="26" t="str">
        <f t="shared" si="15"/>
        <v>323</v>
      </c>
      <c r="F50" s="26" t="s">
        <v>38</v>
      </c>
      <c r="G50" s="26" t="s">
        <v>142</v>
      </c>
      <c r="H50" s="26" t="s">
        <v>40</v>
      </c>
      <c r="I50" s="27">
        <v>167000</v>
      </c>
      <c r="J50" s="27">
        <f t="shared" si="21"/>
        <v>37024.14</v>
      </c>
      <c r="K50" s="27">
        <v>129975.86</v>
      </c>
      <c r="L50" s="27">
        <v>0</v>
      </c>
      <c r="M50" s="27">
        <v>37024.14</v>
      </c>
      <c r="N50" s="27">
        <v>0</v>
      </c>
      <c r="O50" s="27">
        <v>129975.86</v>
      </c>
      <c r="P50" s="28">
        <v>0.222</v>
      </c>
      <c r="Q50" s="27">
        <f t="shared" si="19"/>
        <v>37024.14</v>
      </c>
      <c r="R50" s="27"/>
      <c r="S50" s="27">
        <f t="shared" si="20"/>
        <v>37024.14</v>
      </c>
      <c r="T50" s="27">
        <f t="shared" si="22"/>
        <v>113611.79</v>
      </c>
      <c r="U50" s="27">
        <v>113611.79</v>
      </c>
      <c r="V50" s="27">
        <f t="shared" si="11"/>
        <v>0</v>
      </c>
      <c r="W50" s="27"/>
      <c r="X50" s="27">
        <f t="shared" si="12"/>
        <v>113611.79</v>
      </c>
      <c r="Y50" s="27">
        <f t="shared" si="13"/>
        <v>0</v>
      </c>
      <c r="Z50" s="27"/>
      <c r="AF50" s="27">
        <v>113611.79</v>
      </c>
    </row>
    <row r="51" spans="1:32" ht="20.100000000000001" customHeight="1" outlineLevel="1" x14ac:dyDescent="0.2">
      <c r="A51" s="26" t="s">
        <v>327</v>
      </c>
      <c r="B51" s="30">
        <v>431</v>
      </c>
      <c r="C51" s="30" t="str">
        <f t="shared" si="17"/>
        <v>3</v>
      </c>
      <c r="D51" s="30" t="str">
        <f t="shared" si="18"/>
        <v>32</v>
      </c>
      <c r="E51" s="26" t="str">
        <f t="shared" si="15"/>
        <v>323</v>
      </c>
      <c r="F51" s="26" t="s">
        <v>91</v>
      </c>
      <c r="G51" s="26" t="s">
        <v>143</v>
      </c>
      <c r="H51" s="26" t="s">
        <v>93</v>
      </c>
      <c r="I51" s="27">
        <v>10000</v>
      </c>
      <c r="J51" s="27">
        <f t="shared" si="21"/>
        <v>324.65999999999985</v>
      </c>
      <c r="K51" s="27">
        <v>9675.34</v>
      </c>
      <c r="L51" s="27">
        <v>0</v>
      </c>
      <c r="M51" s="27">
        <v>324.66000000000003</v>
      </c>
      <c r="N51" s="27">
        <v>0</v>
      </c>
      <c r="O51" s="27">
        <v>9675.34</v>
      </c>
      <c r="P51" s="28">
        <v>3.3000000000000002E-2</v>
      </c>
      <c r="Q51" s="27">
        <f t="shared" si="19"/>
        <v>324.65999999999985</v>
      </c>
      <c r="R51" s="27"/>
      <c r="S51" s="27">
        <f t="shared" si="20"/>
        <v>324.65999999999985</v>
      </c>
      <c r="T51" s="27">
        <f t="shared" si="22"/>
        <v>778.41</v>
      </c>
      <c r="U51" s="27">
        <v>778.41</v>
      </c>
      <c r="V51" s="27">
        <f t="shared" si="11"/>
        <v>0</v>
      </c>
      <c r="W51" s="27"/>
      <c r="X51" s="27">
        <f t="shared" si="12"/>
        <v>778.41</v>
      </c>
      <c r="Y51" s="27">
        <f t="shared" si="13"/>
        <v>0</v>
      </c>
      <c r="Z51" s="27"/>
      <c r="AF51" s="27">
        <v>778.41</v>
      </c>
    </row>
    <row r="52" spans="1:32" ht="20.100000000000001" customHeight="1" outlineLevel="1" x14ac:dyDescent="0.2">
      <c r="A52" s="26" t="s">
        <v>327</v>
      </c>
      <c r="B52" s="30">
        <v>431</v>
      </c>
      <c r="C52" s="30" t="str">
        <f t="shared" si="17"/>
        <v>3</v>
      </c>
      <c r="D52" s="30" t="str">
        <f t="shared" si="18"/>
        <v>32</v>
      </c>
      <c r="E52" s="26" t="str">
        <f t="shared" si="15"/>
        <v>323</v>
      </c>
      <c r="F52" s="26" t="s">
        <v>94</v>
      </c>
      <c r="G52" s="26" t="s">
        <v>144</v>
      </c>
      <c r="H52" s="26" t="s">
        <v>96</v>
      </c>
      <c r="I52" s="27">
        <v>20000</v>
      </c>
      <c r="J52" s="27">
        <f t="shared" si="21"/>
        <v>0</v>
      </c>
      <c r="K52" s="27">
        <v>20000</v>
      </c>
      <c r="L52" s="27">
        <v>0</v>
      </c>
      <c r="M52" s="27">
        <v>0</v>
      </c>
      <c r="N52" s="27">
        <v>0</v>
      </c>
      <c r="O52" s="27">
        <v>20000</v>
      </c>
      <c r="P52" s="28">
        <v>0</v>
      </c>
      <c r="Q52" s="27">
        <f t="shared" si="19"/>
        <v>0</v>
      </c>
      <c r="R52" s="27"/>
      <c r="S52" s="27">
        <f t="shared" si="20"/>
        <v>0</v>
      </c>
      <c r="T52" s="27">
        <f t="shared" si="22"/>
        <v>21849.63</v>
      </c>
      <c r="U52" s="27">
        <v>21849.63</v>
      </c>
      <c r="V52" s="27">
        <f t="shared" si="11"/>
        <v>0</v>
      </c>
      <c r="W52" s="27"/>
      <c r="X52" s="27">
        <f t="shared" si="12"/>
        <v>21849.63</v>
      </c>
      <c r="Y52" s="27">
        <f t="shared" si="13"/>
        <v>0</v>
      </c>
      <c r="Z52" s="27"/>
      <c r="AF52" s="27">
        <v>21849.63</v>
      </c>
    </row>
    <row r="53" spans="1:32" ht="20.100000000000001" customHeight="1" outlineLevel="1" x14ac:dyDescent="0.2">
      <c r="A53" s="26" t="s">
        <v>327</v>
      </c>
      <c r="B53" s="30">
        <v>431</v>
      </c>
      <c r="C53" s="30" t="str">
        <f t="shared" si="17"/>
        <v>3</v>
      </c>
      <c r="D53" s="30" t="str">
        <f t="shared" si="18"/>
        <v>32</v>
      </c>
      <c r="E53" s="26" t="str">
        <f t="shared" si="15"/>
        <v>323</v>
      </c>
      <c r="F53" s="26" t="s">
        <v>97</v>
      </c>
      <c r="G53" s="26" t="s">
        <v>145</v>
      </c>
      <c r="H53" s="26" t="s">
        <v>99</v>
      </c>
      <c r="I53" s="27">
        <v>125000</v>
      </c>
      <c r="J53" s="27">
        <f t="shared" si="21"/>
        <v>89010.57</v>
      </c>
      <c r="K53" s="27">
        <v>35989.43</v>
      </c>
      <c r="L53" s="27">
        <v>0</v>
      </c>
      <c r="M53" s="27">
        <v>89010.57</v>
      </c>
      <c r="N53" s="27">
        <v>0</v>
      </c>
      <c r="O53" s="27">
        <v>35989.43</v>
      </c>
      <c r="P53" s="28">
        <v>0.71199999999999997</v>
      </c>
      <c r="Q53" s="27">
        <f t="shared" si="19"/>
        <v>89010.57</v>
      </c>
      <c r="R53" s="27"/>
      <c r="S53" s="27">
        <f t="shared" si="20"/>
        <v>89010.57</v>
      </c>
      <c r="T53" s="27">
        <f t="shared" si="22"/>
        <v>94981.1</v>
      </c>
      <c r="U53" s="27">
        <v>94981.1</v>
      </c>
      <c r="V53" s="27">
        <f t="shared" si="11"/>
        <v>0</v>
      </c>
      <c r="W53" s="27"/>
      <c r="X53" s="27">
        <f t="shared" si="12"/>
        <v>94981.1</v>
      </c>
      <c r="Y53" s="27">
        <f t="shared" si="13"/>
        <v>0</v>
      </c>
      <c r="Z53" s="27"/>
      <c r="AF53" s="27">
        <v>94981.1</v>
      </c>
    </row>
    <row r="54" spans="1:32" ht="20.100000000000001" customHeight="1" outlineLevel="1" x14ac:dyDescent="0.2">
      <c r="A54" s="26" t="s">
        <v>327</v>
      </c>
      <c r="B54" s="30">
        <v>431</v>
      </c>
      <c r="C54" s="30" t="str">
        <f t="shared" si="17"/>
        <v>3</v>
      </c>
      <c r="D54" s="30" t="str">
        <f t="shared" si="18"/>
        <v>32</v>
      </c>
      <c r="E54" s="26" t="str">
        <f t="shared" si="15"/>
        <v>323</v>
      </c>
      <c r="F54" s="26" t="s">
        <v>100</v>
      </c>
      <c r="G54" s="26" t="s">
        <v>146</v>
      </c>
      <c r="H54" s="26" t="s">
        <v>102</v>
      </c>
      <c r="I54" s="27">
        <v>2000</v>
      </c>
      <c r="J54" s="27">
        <f t="shared" si="21"/>
        <v>0</v>
      </c>
      <c r="K54" s="27">
        <v>2000</v>
      </c>
      <c r="L54" s="27">
        <v>0</v>
      </c>
      <c r="M54" s="27">
        <v>0</v>
      </c>
      <c r="N54" s="27">
        <v>0</v>
      </c>
      <c r="O54" s="27">
        <v>2000</v>
      </c>
      <c r="P54" s="28">
        <v>0</v>
      </c>
      <c r="Q54" s="27">
        <f t="shared" si="19"/>
        <v>0</v>
      </c>
      <c r="R54" s="27"/>
      <c r="S54" s="27">
        <f t="shared" si="20"/>
        <v>0</v>
      </c>
      <c r="T54" s="27">
        <f t="shared" si="22"/>
        <v>468.52</v>
      </c>
      <c r="U54" s="27">
        <v>468.52</v>
      </c>
      <c r="V54" s="27">
        <f t="shared" si="11"/>
        <v>0</v>
      </c>
      <c r="W54" s="27"/>
      <c r="X54" s="27">
        <f t="shared" si="12"/>
        <v>468.52</v>
      </c>
      <c r="Y54" s="27">
        <f t="shared" si="13"/>
        <v>0</v>
      </c>
      <c r="Z54" s="27"/>
      <c r="AF54" s="27">
        <v>468.52</v>
      </c>
    </row>
    <row r="55" spans="1:32" ht="20.100000000000001" customHeight="1" outlineLevel="1" x14ac:dyDescent="0.2">
      <c r="A55" s="26" t="s">
        <v>327</v>
      </c>
      <c r="B55" s="30">
        <v>431</v>
      </c>
      <c r="C55" s="30" t="str">
        <f t="shared" si="17"/>
        <v>3</v>
      </c>
      <c r="D55" s="30" t="str">
        <f t="shared" si="18"/>
        <v>32</v>
      </c>
      <c r="E55" s="26" t="str">
        <f t="shared" si="15"/>
        <v>323</v>
      </c>
      <c r="F55" s="26" t="s">
        <v>41</v>
      </c>
      <c r="G55" s="26" t="s">
        <v>147</v>
      </c>
      <c r="H55" s="26" t="s">
        <v>43</v>
      </c>
      <c r="I55" s="27">
        <v>48600</v>
      </c>
      <c r="J55" s="27">
        <f t="shared" si="21"/>
        <v>14371.21</v>
      </c>
      <c r="K55" s="27">
        <v>34228.79</v>
      </c>
      <c r="L55" s="27">
        <v>0</v>
      </c>
      <c r="M55" s="27">
        <v>14371.21</v>
      </c>
      <c r="N55" s="27">
        <v>0</v>
      </c>
      <c r="O55" s="27">
        <v>34228.79</v>
      </c>
      <c r="P55" s="28">
        <v>0.29599999999999999</v>
      </c>
      <c r="Q55" s="27">
        <f t="shared" si="19"/>
        <v>14371.21</v>
      </c>
      <c r="R55" s="27"/>
      <c r="S55" s="27">
        <f t="shared" si="20"/>
        <v>14371.21</v>
      </c>
      <c r="T55" s="27">
        <f t="shared" si="22"/>
        <v>40277.14</v>
      </c>
      <c r="U55" s="27">
        <v>40277.14</v>
      </c>
      <c r="V55" s="27">
        <f t="shared" si="11"/>
        <v>0</v>
      </c>
      <c r="W55" s="27"/>
      <c r="X55" s="27">
        <f t="shared" si="12"/>
        <v>40277.14</v>
      </c>
      <c r="Y55" s="27">
        <f t="shared" si="13"/>
        <v>0</v>
      </c>
      <c r="Z55" s="27"/>
      <c r="AF55" s="27">
        <v>40277.14</v>
      </c>
    </row>
    <row r="56" spans="1:32" ht="20.100000000000001" customHeight="1" outlineLevel="1" x14ac:dyDescent="0.2">
      <c r="A56" s="26" t="s">
        <v>327</v>
      </c>
      <c r="B56" s="30">
        <v>431</v>
      </c>
      <c r="C56" s="30" t="str">
        <f t="shared" si="17"/>
        <v>3</v>
      </c>
      <c r="D56" s="30" t="str">
        <f t="shared" si="18"/>
        <v>32</v>
      </c>
      <c r="E56" s="26" t="str">
        <f t="shared" si="15"/>
        <v>323</v>
      </c>
      <c r="F56" s="26" t="s">
        <v>104</v>
      </c>
      <c r="G56" s="26" t="s">
        <v>148</v>
      </c>
      <c r="H56" s="26" t="s">
        <v>106</v>
      </c>
      <c r="I56" s="27">
        <v>125000</v>
      </c>
      <c r="J56" s="27">
        <f t="shared" si="21"/>
        <v>38043.83</v>
      </c>
      <c r="K56" s="27">
        <v>86956.17</v>
      </c>
      <c r="L56" s="27">
        <v>0</v>
      </c>
      <c r="M56" s="27">
        <v>38043.83</v>
      </c>
      <c r="N56" s="27">
        <v>0</v>
      </c>
      <c r="O56" s="27">
        <v>86956.17</v>
      </c>
      <c r="P56" s="28">
        <v>0.30399999999999999</v>
      </c>
      <c r="Q56" s="27">
        <f t="shared" si="19"/>
        <v>38043.83</v>
      </c>
      <c r="R56" s="27"/>
      <c r="S56" s="27">
        <f t="shared" si="20"/>
        <v>38043.83</v>
      </c>
      <c r="T56" s="27">
        <f t="shared" si="22"/>
        <v>117616.62</v>
      </c>
      <c r="U56" s="27">
        <v>117616.62</v>
      </c>
      <c r="V56" s="27">
        <f t="shared" si="11"/>
        <v>0</v>
      </c>
      <c r="W56" s="27"/>
      <c r="X56" s="27">
        <f t="shared" si="12"/>
        <v>117616.62</v>
      </c>
      <c r="Y56" s="27">
        <f t="shared" si="13"/>
        <v>0</v>
      </c>
      <c r="Z56" s="27"/>
      <c r="AF56" s="27">
        <v>117616.62</v>
      </c>
    </row>
    <row r="57" spans="1:32" ht="20.100000000000001" customHeight="1" outlineLevel="1" x14ac:dyDescent="0.2">
      <c r="A57" s="26" t="s">
        <v>327</v>
      </c>
      <c r="B57" s="30">
        <v>431</v>
      </c>
      <c r="C57" s="30" t="str">
        <f t="shared" si="17"/>
        <v>3</v>
      </c>
      <c r="D57" s="30" t="str">
        <f t="shared" si="18"/>
        <v>32</v>
      </c>
      <c r="E57" s="26" t="str">
        <f t="shared" si="15"/>
        <v>323</v>
      </c>
      <c r="F57" s="26" t="s">
        <v>126</v>
      </c>
      <c r="G57" s="26" t="s">
        <v>149</v>
      </c>
      <c r="H57" s="26" t="s">
        <v>128</v>
      </c>
      <c r="I57" s="27">
        <v>126200</v>
      </c>
      <c r="J57" s="27">
        <f t="shared" si="21"/>
        <v>55941.56</v>
      </c>
      <c r="K57" s="27">
        <v>70258.44</v>
      </c>
      <c r="L57" s="27">
        <v>0</v>
      </c>
      <c r="M57" s="27">
        <v>55941.56</v>
      </c>
      <c r="N57" s="27">
        <v>0</v>
      </c>
      <c r="O57" s="27">
        <v>70258.44</v>
      </c>
      <c r="P57" s="28">
        <v>0.443</v>
      </c>
      <c r="Q57" s="27">
        <f t="shared" si="19"/>
        <v>55941.56</v>
      </c>
      <c r="R57" s="27"/>
      <c r="S57" s="27">
        <f t="shared" si="20"/>
        <v>55941.56</v>
      </c>
      <c r="T57" s="27">
        <f t="shared" si="22"/>
        <v>152906.18</v>
      </c>
      <c r="U57" s="27">
        <v>152906.18</v>
      </c>
      <c r="V57" s="27">
        <f t="shared" si="11"/>
        <v>0</v>
      </c>
      <c r="W57" s="27"/>
      <c r="X57" s="27">
        <f t="shared" si="12"/>
        <v>152906.18</v>
      </c>
      <c r="Y57" s="27">
        <f t="shared" si="13"/>
        <v>0</v>
      </c>
      <c r="Z57" s="27"/>
      <c r="AF57" s="27">
        <v>152906.18</v>
      </c>
    </row>
    <row r="58" spans="1:32" ht="20.100000000000001" customHeight="1" outlineLevel="1" x14ac:dyDescent="0.2">
      <c r="A58" s="26" t="s">
        <v>327</v>
      </c>
      <c r="B58" s="30">
        <v>431</v>
      </c>
      <c r="C58" s="30" t="str">
        <f t="shared" si="17"/>
        <v>3</v>
      </c>
      <c r="D58" s="30" t="str">
        <f t="shared" si="18"/>
        <v>32</v>
      </c>
      <c r="E58" s="26" t="str">
        <f t="shared" si="15"/>
        <v>324</v>
      </c>
      <c r="F58" s="26" t="s">
        <v>150</v>
      </c>
      <c r="G58" s="26" t="s">
        <v>151</v>
      </c>
      <c r="H58" s="26" t="s">
        <v>152</v>
      </c>
      <c r="I58" s="27">
        <v>500</v>
      </c>
      <c r="J58" s="27">
        <f t="shared" si="21"/>
        <v>0</v>
      </c>
      <c r="K58" s="27">
        <v>500</v>
      </c>
      <c r="L58" s="27">
        <v>0</v>
      </c>
      <c r="M58" s="27">
        <v>0</v>
      </c>
      <c r="N58" s="27">
        <v>0</v>
      </c>
      <c r="O58" s="27">
        <v>500</v>
      </c>
      <c r="P58" s="28">
        <v>0</v>
      </c>
      <c r="Q58" s="27">
        <f t="shared" si="19"/>
        <v>0</v>
      </c>
      <c r="R58" s="27"/>
      <c r="S58" s="27">
        <f t="shared" si="20"/>
        <v>0</v>
      </c>
      <c r="T58" s="27">
        <f t="shared" si="22"/>
        <v>0</v>
      </c>
      <c r="U58" s="27"/>
      <c r="V58" s="27">
        <f t="shared" si="11"/>
        <v>0</v>
      </c>
      <c r="W58" s="27"/>
      <c r="X58" s="27">
        <f t="shared" si="12"/>
        <v>0</v>
      </c>
      <c r="Y58" s="27">
        <f t="shared" si="13"/>
        <v>0</v>
      </c>
      <c r="Z58" s="27"/>
      <c r="AF58" s="27">
        <v>0</v>
      </c>
    </row>
    <row r="59" spans="1:32" ht="20.100000000000001" customHeight="1" outlineLevel="1" x14ac:dyDescent="0.2">
      <c r="A59" s="26" t="s">
        <v>327</v>
      </c>
      <c r="B59" s="30">
        <v>431</v>
      </c>
      <c r="C59" s="30" t="str">
        <f t="shared" si="17"/>
        <v>3</v>
      </c>
      <c r="D59" s="30" t="str">
        <f t="shared" si="18"/>
        <v>32</v>
      </c>
      <c r="E59" s="26" t="str">
        <f t="shared" si="15"/>
        <v>329</v>
      </c>
      <c r="F59" s="26" t="s">
        <v>110</v>
      </c>
      <c r="G59" s="26" t="s">
        <v>153</v>
      </c>
      <c r="H59" s="26" t="s">
        <v>112</v>
      </c>
      <c r="I59" s="27">
        <v>4000</v>
      </c>
      <c r="J59" s="27">
        <f t="shared" si="21"/>
        <v>2923.76</v>
      </c>
      <c r="K59" s="27">
        <v>1076.24</v>
      </c>
      <c r="L59" s="27">
        <v>0</v>
      </c>
      <c r="M59" s="27">
        <v>2923.76</v>
      </c>
      <c r="N59" s="27">
        <v>0</v>
      </c>
      <c r="O59" s="27">
        <v>1076.24</v>
      </c>
      <c r="P59" s="28">
        <v>0.73099999999999998</v>
      </c>
      <c r="Q59" s="27">
        <f t="shared" si="19"/>
        <v>2923.76</v>
      </c>
      <c r="R59" s="27"/>
      <c r="S59" s="27">
        <f t="shared" si="20"/>
        <v>2923.76</v>
      </c>
      <c r="T59" s="27">
        <f t="shared" si="22"/>
        <v>3858.64</v>
      </c>
      <c r="U59" s="27">
        <v>3858.64</v>
      </c>
      <c r="V59" s="27">
        <f t="shared" si="11"/>
        <v>0</v>
      </c>
      <c r="W59" s="27"/>
      <c r="X59" s="27">
        <f t="shared" si="12"/>
        <v>3858.64</v>
      </c>
      <c r="Y59" s="27">
        <f t="shared" si="13"/>
        <v>0</v>
      </c>
      <c r="Z59" s="27"/>
      <c r="AF59" s="27">
        <v>3858.64</v>
      </c>
    </row>
    <row r="60" spans="1:32" ht="20.100000000000001" customHeight="1" outlineLevel="1" x14ac:dyDescent="0.2">
      <c r="A60" s="26" t="s">
        <v>327</v>
      </c>
      <c r="B60" s="30">
        <v>431</v>
      </c>
      <c r="C60" s="30" t="str">
        <f t="shared" si="17"/>
        <v>3</v>
      </c>
      <c r="D60" s="30" t="str">
        <f t="shared" si="18"/>
        <v>32</v>
      </c>
      <c r="E60" s="26" t="str">
        <f t="shared" si="15"/>
        <v>329</v>
      </c>
      <c r="F60" s="26" t="s">
        <v>154</v>
      </c>
      <c r="G60" s="26" t="s">
        <v>155</v>
      </c>
      <c r="H60" s="26" t="s">
        <v>156</v>
      </c>
      <c r="I60" s="27">
        <v>9000</v>
      </c>
      <c r="J60" s="27">
        <f t="shared" si="21"/>
        <v>6050.12</v>
      </c>
      <c r="K60" s="27">
        <v>2949.88</v>
      </c>
      <c r="L60" s="27">
        <v>0</v>
      </c>
      <c r="M60" s="27">
        <v>6050.12</v>
      </c>
      <c r="N60" s="27">
        <v>0</v>
      </c>
      <c r="O60" s="27">
        <v>2949.88</v>
      </c>
      <c r="P60" s="28">
        <v>0.67200000000000004</v>
      </c>
      <c r="Q60" s="27">
        <f t="shared" si="19"/>
        <v>6050.12</v>
      </c>
      <c r="R60" s="27"/>
      <c r="S60" s="27">
        <f t="shared" si="20"/>
        <v>6050.12</v>
      </c>
      <c r="T60" s="27">
        <f t="shared" si="22"/>
        <v>20831.82</v>
      </c>
      <c r="U60" s="27">
        <v>20831.82</v>
      </c>
      <c r="V60" s="27">
        <f t="shared" si="11"/>
        <v>0</v>
      </c>
      <c r="W60" s="27"/>
      <c r="X60" s="27">
        <f t="shared" si="12"/>
        <v>20831.82</v>
      </c>
      <c r="Y60" s="27">
        <f t="shared" si="13"/>
        <v>0</v>
      </c>
      <c r="Z60" s="27"/>
      <c r="AF60" s="27">
        <v>20831.82</v>
      </c>
    </row>
    <row r="61" spans="1:32" ht="20.100000000000001" customHeight="1" outlineLevel="1" x14ac:dyDescent="0.2">
      <c r="A61" s="26" t="s">
        <v>327</v>
      </c>
      <c r="B61" s="30">
        <v>431</v>
      </c>
      <c r="C61" s="30" t="str">
        <f t="shared" si="17"/>
        <v>3</v>
      </c>
      <c r="D61" s="30" t="str">
        <f t="shared" si="18"/>
        <v>32</v>
      </c>
      <c r="E61" s="26" t="str">
        <f t="shared" si="15"/>
        <v>329</v>
      </c>
      <c r="F61" s="26" t="s">
        <v>113</v>
      </c>
      <c r="G61" s="26" t="s">
        <v>157</v>
      </c>
      <c r="H61" s="26" t="s">
        <v>115</v>
      </c>
      <c r="I61" s="27">
        <v>3300</v>
      </c>
      <c r="J61" s="27">
        <f t="shared" si="21"/>
        <v>2329.94</v>
      </c>
      <c r="K61" s="27">
        <v>970.06</v>
      </c>
      <c r="L61" s="27">
        <v>0</v>
      </c>
      <c r="M61" s="27">
        <v>2329.94</v>
      </c>
      <c r="N61" s="27">
        <v>0</v>
      </c>
      <c r="O61" s="27">
        <v>970.06</v>
      </c>
      <c r="P61" s="28">
        <v>0.70599999999999996</v>
      </c>
      <c r="Q61" s="27">
        <f t="shared" si="19"/>
        <v>2329.94</v>
      </c>
      <c r="R61" s="27"/>
      <c r="S61" s="27">
        <f t="shared" si="20"/>
        <v>2329.94</v>
      </c>
      <c r="T61" s="27">
        <f t="shared" si="22"/>
        <v>2984.94</v>
      </c>
      <c r="U61" s="27">
        <v>2984.94</v>
      </c>
      <c r="V61" s="27">
        <f t="shared" si="11"/>
        <v>0</v>
      </c>
      <c r="W61" s="27"/>
      <c r="X61" s="27">
        <f t="shared" si="12"/>
        <v>2984.94</v>
      </c>
      <c r="Y61" s="27">
        <f t="shared" si="13"/>
        <v>0</v>
      </c>
      <c r="Z61" s="27"/>
      <c r="AF61" s="27">
        <v>2984.94</v>
      </c>
    </row>
    <row r="62" spans="1:32" ht="20.100000000000001" customHeight="1" outlineLevel="1" x14ac:dyDescent="0.2">
      <c r="A62" s="26" t="s">
        <v>327</v>
      </c>
      <c r="B62" s="30">
        <v>431</v>
      </c>
      <c r="C62" s="30" t="str">
        <f t="shared" si="17"/>
        <v>3</v>
      </c>
      <c r="D62" s="30" t="str">
        <f t="shared" si="18"/>
        <v>32</v>
      </c>
      <c r="E62" s="26" t="str">
        <f t="shared" si="15"/>
        <v>329</v>
      </c>
      <c r="F62" s="26" t="s">
        <v>116</v>
      </c>
      <c r="G62" s="26" t="s">
        <v>158</v>
      </c>
      <c r="H62" s="26" t="s">
        <v>118</v>
      </c>
      <c r="I62" s="27">
        <v>22500</v>
      </c>
      <c r="J62" s="27">
        <f t="shared" si="21"/>
        <v>10419.06</v>
      </c>
      <c r="K62" s="27">
        <v>12080.94</v>
      </c>
      <c r="L62" s="27">
        <v>0</v>
      </c>
      <c r="M62" s="27">
        <v>10419.06</v>
      </c>
      <c r="N62" s="27">
        <v>0</v>
      </c>
      <c r="O62" s="27">
        <v>12080.94</v>
      </c>
      <c r="P62" s="28">
        <v>0.46300000000000002</v>
      </c>
      <c r="Q62" s="27">
        <f t="shared" si="19"/>
        <v>10419.06</v>
      </c>
      <c r="R62" s="27"/>
      <c r="S62" s="27">
        <f t="shared" si="20"/>
        <v>10419.06</v>
      </c>
      <c r="T62" s="27">
        <f t="shared" si="22"/>
        <v>5838.5</v>
      </c>
      <c r="U62" s="27">
        <v>5838.5</v>
      </c>
      <c r="V62" s="27">
        <f t="shared" si="11"/>
        <v>0</v>
      </c>
      <c r="W62" s="27"/>
      <c r="X62" s="27">
        <f t="shared" si="12"/>
        <v>5838.5</v>
      </c>
      <c r="Y62" s="27">
        <f t="shared" si="13"/>
        <v>0</v>
      </c>
      <c r="Z62" s="27"/>
      <c r="AF62" s="27">
        <v>5838.5</v>
      </c>
    </row>
    <row r="63" spans="1:32" ht="20.100000000000001" customHeight="1" outlineLevel="1" x14ac:dyDescent="0.2">
      <c r="A63" s="26" t="s">
        <v>327</v>
      </c>
      <c r="B63" s="30">
        <v>431</v>
      </c>
      <c r="C63" s="30" t="str">
        <f t="shared" si="17"/>
        <v>3</v>
      </c>
      <c r="D63" s="30" t="str">
        <f t="shared" si="18"/>
        <v>32</v>
      </c>
      <c r="E63" s="26" t="str">
        <f t="shared" si="15"/>
        <v>329</v>
      </c>
      <c r="F63" s="26" t="s">
        <v>159</v>
      </c>
      <c r="G63" s="26" t="s">
        <v>160</v>
      </c>
      <c r="H63" s="26" t="s">
        <v>161</v>
      </c>
      <c r="I63" s="27">
        <v>4000</v>
      </c>
      <c r="J63" s="27">
        <f t="shared" si="21"/>
        <v>1390.0700000000002</v>
      </c>
      <c r="K63" s="27">
        <v>2609.9299999999998</v>
      </c>
      <c r="L63" s="27">
        <v>0</v>
      </c>
      <c r="M63" s="27">
        <v>1390.07</v>
      </c>
      <c r="N63" s="27">
        <v>0</v>
      </c>
      <c r="O63" s="27">
        <v>2609.9299999999998</v>
      </c>
      <c r="P63" s="28">
        <v>0.34799999999999998</v>
      </c>
      <c r="Q63" s="27">
        <f t="shared" si="19"/>
        <v>1390.0700000000002</v>
      </c>
      <c r="R63" s="27"/>
      <c r="S63" s="27">
        <f t="shared" si="20"/>
        <v>1390.0700000000002</v>
      </c>
      <c r="T63" s="27">
        <f t="shared" si="22"/>
        <v>4723.58</v>
      </c>
      <c r="U63" s="27">
        <v>4723.58</v>
      </c>
      <c r="V63" s="27">
        <f t="shared" si="11"/>
        <v>0</v>
      </c>
      <c r="W63" s="27"/>
      <c r="X63" s="27">
        <f t="shared" si="12"/>
        <v>4723.58</v>
      </c>
      <c r="Y63" s="27">
        <f t="shared" si="13"/>
        <v>0</v>
      </c>
      <c r="Z63" s="27"/>
      <c r="AF63" s="27">
        <v>4723.58</v>
      </c>
    </row>
    <row r="64" spans="1:32" ht="20.100000000000001" customHeight="1" outlineLevel="1" x14ac:dyDescent="0.2">
      <c r="A64" s="26" t="s">
        <v>327</v>
      </c>
      <c r="B64" s="30">
        <v>431</v>
      </c>
      <c r="C64" s="30" t="str">
        <f t="shared" si="17"/>
        <v>3</v>
      </c>
      <c r="D64" s="30" t="str">
        <f t="shared" si="18"/>
        <v>34</v>
      </c>
      <c r="E64" s="26" t="str">
        <f t="shared" si="15"/>
        <v>343</v>
      </c>
      <c r="F64" s="26" t="s">
        <v>119</v>
      </c>
      <c r="G64" s="26" t="s">
        <v>162</v>
      </c>
      <c r="H64" s="26" t="s">
        <v>121</v>
      </c>
      <c r="I64" s="27">
        <v>13600</v>
      </c>
      <c r="J64" s="27">
        <f t="shared" si="21"/>
        <v>6966.45</v>
      </c>
      <c r="K64" s="27">
        <v>6633.55</v>
      </c>
      <c r="L64" s="27">
        <v>0</v>
      </c>
      <c r="M64" s="27">
        <v>6966.45</v>
      </c>
      <c r="N64" s="27">
        <v>0</v>
      </c>
      <c r="O64" s="27">
        <v>6633.55</v>
      </c>
      <c r="P64" s="28">
        <v>0.51200000000000001</v>
      </c>
      <c r="Q64" s="27">
        <f t="shared" si="19"/>
        <v>6966.45</v>
      </c>
      <c r="R64" s="27"/>
      <c r="S64" s="27">
        <f t="shared" si="20"/>
        <v>6966.45</v>
      </c>
      <c r="T64" s="27">
        <f t="shared" si="22"/>
        <v>19637.03</v>
      </c>
      <c r="U64" s="27">
        <v>19637.03</v>
      </c>
      <c r="V64" s="27">
        <f t="shared" si="11"/>
        <v>0</v>
      </c>
      <c r="W64" s="27"/>
      <c r="X64" s="27">
        <f t="shared" si="12"/>
        <v>19637.03</v>
      </c>
      <c r="Y64" s="27">
        <f t="shared" si="13"/>
        <v>0</v>
      </c>
      <c r="Z64" s="27"/>
      <c r="AF64" s="27">
        <v>19637.03</v>
      </c>
    </row>
    <row r="65" spans="1:32" ht="20.100000000000001" customHeight="1" outlineLevel="1" x14ac:dyDescent="0.2">
      <c r="A65" s="26" t="s">
        <v>327</v>
      </c>
      <c r="B65" s="30">
        <v>431</v>
      </c>
      <c r="C65" s="30" t="str">
        <f t="shared" si="17"/>
        <v>3</v>
      </c>
      <c r="D65" s="30" t="str">
        <f t="shared" si="18"/>
        <v>34</v>
      </c>
      <c r="E65" s="26" t="str">
        <f t="shared" si="15"/>
        <v>343</v>
      </c>
      <c r="F65" s="26" t="s">
        <v>163</v>
      </c>
      <c r="G65" s="26" t="s">
        <v>164</v>
      </c>
      <c r="H65" s="26" t="s">
        <v>165</v>
      </c>
      <c r="I65" s="27">
        <v>600</v>
      </c>
      <c r="J65" s="27">
        <f t="shared" si="21"/>
        <v>213.91000000000003</v>
      </c>
      <c r="K65" s="27">
        <v>386.09</v>
      </c>
      <c r="L65" s="27">
        <v>0</v>
      </c>
      <c r="M65" s="27">
        <v>213.91</v>
      </c>
      <c r="N65" s="27">
        <v>0</v>
      </c>
      <c r="O65" s="27">
        <v>386.09</v>
      </c>
      <c r="P65" s="28">
        <v>0.35699999999999998</v>
      </c>
      <c r="Q65" s="27">
        <f t="shared" si="19"/>
        <v>213.91000000000003</v>
      </c>
      <c r="R65" s="27"/>
      <c r="S65" s="27">
        <f t="shared" si="20"/>
        <v>213.91000000000003</v>
      </c>
      <c r="T65" s="27">
        <f t="shared" si="22"/>
        <v>637.32000000000005</v>
      </c>
      <c r="U65" s="27">
        <v>637.32000000000005</v>
      </c>
      <c r="V65" s="27">
        <f t="shared" si="11"/>
        <v>0</v>
      </c>
      <c r="W65" s="27"/>
      <c r="X65" s="27">
        <f t="shared" si="12"/>
        <v>637.32000000000005</v>
      </c>
      <c r="Y65" s="27">
        <f t="shared" si="13"/>
        <v>0</v>
      </c>
      <c r="Z65" s="27"/>
      <c r="AA65" s="38" t="s">
        <v>347</v>
      </c>
      <c r="AB65" s="38" t="s">
        <v>350</v>
      </c>
      <c r="AC65" s="38" t="s">
        <v>349</v>
      </c>
      <c r="AF65" s="27">
        <v>637.32000000000005</v>
      </c>
    </row>
    <row r="66" spans="1:32" ht="20.100000000000001" customHeight="1" x14ac:dyDescent="0.2">
      <c r="F66" s="216" t="s">
        <v>26</v>
      </c>
      <c r="G66" s="216"/>
      <c r="H66" s="216"/>
      <c r="I66" s="52">
        <f>SUMIFS(I67:I235,$A67:$A235,"A212401",$B67:$B235,"521")</f>
        <v>690000</v>
      </c>
      <c r="J66" s="52">
        <f t="shared" ref="J66:V66" si="23">SUMIFS(J67:J235,$A67:$A235,"A212401",$B67:$B235,"521")</f>
        <v>403155.35</v>
      </c>
      <c r="K66" s="52">
        <f t="shared" si="23"/>
        <v>286844.64999999997</v>
      </c>
      <c r="L66" s="52">
        <f t="shared" si="23"/>
        <v>0</v>
      </c>
      <c r="M66" s="52">
        <f t="shared" si="23"/>
        <v>403155.35000000003</v>
      </c>
      <c r="N66" s="52">
        <f t="shared" si="23"/>
        <v>0</v>
      </c>
      <c r="O66" s="52">
        <f t="shared" si="23"/>
        <v>286844.64999999997</v>
      </c>
      <c r="P66" s="53">
        <v>0.58399999999999996</v>
      </c>
      <c r="Q66" s="52">
        <f t="shared" si="23"/>
        <v>403155.35</v>
      </c>
      <c r="R66" s="52">
        <f t="shared" si="23"/>
        <v>0</v>
      </c>
      <c r="S66" s="52">
        <f t="shared" si="23"/>
        <v>403155.35</v>
      </c>
      <c r="T66" s="52">
        <f>SUMIFS(T67:T235,$A67:$A235,"A212401",$B67:$B235,"521")</f>
        <v>835188.62000000011</v>
      </c>
      <c r="U66" s="52">
        <f t="shared" si="23"/>
        <v>835188.62000000011</v>
      </c>
      <c r="V66" s="52">
        <f t="shared" si="23"/>
        <v>0</v>
      </c>
      <c r="W66" s="52">
        <f>SUMIFS(W67:W235,$A67:$A235,"A212401",$B67:$B235,"521")</f>
        <v>0</v>
      </c>
      <c r="X66" s="52">
        <f>SUMIFS(X67:X235,$A67:$A235,"A212401",$B67:$B235,"521")</f>
        <v>835188.62000000011</v>
      </c>
      <c r="Y66" s="52">
        <f>SUMIFS(Y67:Y235,$A67:$A235,"A212401",$B67:$B235,"521")</f>
        <v>0</v>
      </c>
      <c r="Z66" s="52"/>
      <c r="AA66" s="54">
        <f>SUMIFS(AA67:AA235,$A67:$A235,"A212401",$B67:$B235,"521")</f>
        <v>178397.38999999998</v>
      </c>
      <c r="AB66" s="54">
        <f>SUMIFS(AB67:AB235,$A67:$A235,"A212401",$B67:$B235,"521")</f>
        <v>643151.68000000005</v>
      </c>
      <c r="AC66" s="54">
        <f>SUMIFS(AC67:AC235,$A67:$A235,"A212401",$B67:$B235,"521")</f>
        <v>13639.55</v>
      </c>
      <c r="AF66" s="52">
        <v>835188.62000000011</v>
      </c>
    </row>
    <row r="67" spans="1:32" ht="20.100000000000001" customHeight="1" outlineLevel="1" x14ac:dyDescent="0.2">
      <c r="A67" s="26" t="s">
        <v>327</v>
      </c>
      <c r="B67" s="30">
        <v>521</v>
      </c>
      <c r="C67" s="30" t="str">
        <f t="shared" ref="C67:C94" si="24">LEFT(F67,1)</f>
        <v>3</v>
      </c>
      <c r="D67" s="30" t="str">
        <f t="shared" ref="D67:D94" si="25">LEFT(F67,2)</f>
        <v>31</v>
      </c>
      <c r="E67" s="26" t="str">
        <f t="shared" si="15"/>
        <v>311</v>
      </c>
      <c r="F67" s="26" t="s">
        <v>57</v>
      </c>
      <c r="G67" s="26" t="s">
        <v>166</v>
      </c>
      <c r="H67" s="26" t="s">
        <v>59</v>
      </c>
      <c r="I67" s="27">
        <v>504200</v>
      </c>
      <c r="J67" s="27">
        <f t="shared" si="21"/>
        <v>286339.07999999996</v>
      </c>
      <c r="K67" s="27">
        <v>217860.92</v>
      </c>
      <c r="L67" s="27">
        <v>0</v>
      </c>
      <c r="M67" s="27">
        <v>286339.08</v>
      </c>
      <c r="N67" s="27">
        <v>0</v>
      </c>
      <c r="O67" s="27">
        <v>217860.92</v>
      </c>
      <c r="P67" s="28">
        <v>0.56799999999999995</v>
      </c>
      <c r="Q67" s="27">
        <f t="shared" ref="Q67:Q94" si="26">J67</f>
        <v>286339.07999999996</v>
      </c>
      <c r="R67" s="27"/>
      <c r="S67" s="27">
        <f t="shared" ref="S67:S94" si="27">R67+Q67</f>
        <v>286339.07999999996</v>
      </c>
      <c r="T67" s="27">
        <f t="shared" si="22"/>
        <v>608866.72</v>
      </c>
      <c r="U67" s="27">
        <f t="shared" ref="U67:U94" si="28">AA67+AB67+AC67</f>
        <v>608866.72</v>
      </c>
      <c r="V67" s="27">
        <f t="shared" si="11"/>
        <v>0</v>
      </c>
      <c r="W67" s="27"/>
      <c r="X67" s="27">
        <f t="shared" si="12"/>
        <v>608866.72</v>
      </c>
      <c r="Y67" s="27">
        <f t="shared" si="13"/>
        <v>0</v>
      </c>
      <c r="Z67" s="27"/>
      <c r="AA67" s="27">
        <v>145951.35</v>
      </c>
      <c r="AB67" s="27">
        <v>462915.37</v>
      </c>
      <c r="AC67" s="27"/>
      <c r="AF67" s="27">
        <v>608866.72</v>
      </c>
    </row>
    <row r="68" spans="1:32" ht="20.100000000000001" customHeight="1" outlineLevel="1" x14ac:dyDescent="0.2">
      <c r="A68" s="26" t="s">
        <v>327</v>
      </c>
      <c r="B68" s="30">
        <v>521</v>
      </c>
      <c r="C68" s="30" t="str">
        <f t="shared" si="24"/>
        <v>3</v>
      </c>
      <c r="D68" s="30" t="str">
        <f t="shared" si="25"/>
        <v>31</v>
      </c>
      <c r="E68" s="26" t="str">
        <f t="shared" si="15"/>
        <v>312</v>
      </c>
      <c r="F68" s="26" t="s">
        <v>60</v>
      </c>
      <c r="G68" s="26" t="s">
        <v>167</v>
      </c>
      <c r="H68" s="26" t="s">
        <v>62</v>
      </c>
      <c r="I68" s="27">
        <v>20000</v>
      </c>
      <c r="J68" s="27">
        <f t="shared" si="21"/>
        <v>34218.71</v>
      </c>
      <c r="K68" s="27">
        <v>-14218.71</v>
      </c>
      <c r="L68" s="27">
        <v>0</v>
      </c>
      <c r="M68" s="27">
        <v>34218.71</v>
      </c>
      <c r="N68" s="27">
        <v>0</v>
      </c>
      <c r="O68" s="27">
        <v>-14218.71</v>
      </c>
      <c r="P68" s="28">
        <v>1.7110000000000001</v>
      </c>
      <c r="Q68" s="27">
        <f t="shared" si="26"/>
        <v>34218.71</v>
      </c>
      <c r="R68" s="27"/>
      <c r="S68" s="27">
        <f t="shared" si="27"/>
        <v>34218.71</v>
      </c>
      <c r="T68" s="27">
        <f t="shared" si="22"/>
        <v>53176.68</v>
      </c>
      <c r="U68" s="27">
        <f t="shared" si="28"/>
        <v>53176.68</v>
      </c>
      <c r="V68" s="27">
        <f t="shared" si="11"/>
        <v>0</v>
      </c>
      <c r="W68" s="27"/>
      <c r="X68" s="27">
        <f t="shared" si="12"/>
        <v>53176.68</v>
      </c>
      <c r="Y68" s="27">
        <f t="shared" si="13"/>
        <v>0</v>
      </c>
      <c r="Z68" s="27"/>
      <c r="AA68" s="27">
        <v>3529.36</v>
      </c>
      <c r="AB68" s="27">
        <v>49647.32</v>
      </c>
      <c r="AC68" s="27"/>
      <c r="AF68" s="27">
        <v>53176.68</v>
      </c>
    </row>
    <row r="69" spans="1:32" ht="20.100000000000001" customHeight="1" outlineLevel="1" x14ac:dyDescent="0.2">
      <c r="A69" s="26" t="s">
        <v>327</v>
      </c>
      <c r="B69" s="30">
        <v>521</v>
      </c>
      <c r="C69" s="30" t="str">
        <f t="shared" si="24"/>
        <v>3</v>
      </c>
      <c r="D69" s="30" t="str">
        <f t="shared" si="25"/>
        <v>31</v>
      </c>
      <c r="E69" s="26" t="str">
        <f t="shared" si="15"/>
        <v>313</v>
      </c>
      <c r="F69" s="26" t="s">
        <v>63</v>
      </c>
      <c r="G69" s="26" t="s">
        <v>168</v>
      </c>
      <c r="H69" s="26" t="s">
        <v>65</v>
      </c>
      <c r="I69" s="27">
        <v>80300</v>
      </c>
      <c r="J69" s="27">
        <f t="shared" si="21"/>
        <v>48276.130000000005</v>
      </c>
      <c r="K69" s="27">
        <v>32023.87</v>
      </c>
      <c r="L69" s="27">
        <v>0</v>
      </c>
      <c r="M69" s="27">
        <v>48276.13</v>
      </c>
      <c r="N69" s="27">
        <v>0</v>
      </c>
      <c r="O69" s="27">
        <v>32023.87</v>
      </c>
      <c r="P69" s="28">
        <v>0.60099999999999998</v>
      </c>
      <c r="Q69" s="27">
        <f t="shared" si="26"/>
        <v>48276.130000000005</v>
      </c>
      <c r="R69" s="27"/>
      <c r="S69" s="27">
        <f t="shared" si="27"/>
        <v>48276.130000000005</v>
      </c>
      <c r="T69" s="27">
        <f t="shared" si="22"/>
        <v>99000.89</v>
      </c>
      <c r="U69" s="27">
        <f t="shared" si="28"/>
        <v>99000.89</v>
      </c>
      <c r="V69" s="27">
        <f t="shared" si="11"/>
        <v>0</v>
      </c>
      <c r="W69" s="27"/>
      <c r="X69" s="27">
        <f t="shared" si="12"/>
        <v>99000.89</v>
      </c>
      <c r="Y69" s="27">
        <f t="shared" si="13"/>
        <v>0</v>
      </c>
      <c r="Z69" s="27"/>
      <c r="AA69" s="27">
        <v>19844.830000000002</v>
      </c>
      <c r="AB69" s="27">
        <v>79156.06</v>
      </c>
      <c r="AC69" s="27"/>
      <c r="AF69" s="27">
        <v>99000.89</v>
      </c>
    </row>
    <row r="70" spans="1:32" ht="20.100000000000001" customHeight="1" outlineLevel="1" x14ac:dyDescent="0.2">
      <c r="A70" s="26" t="s">
        <v>327</v>
      </c>
      <c r="B70" s="30">
        <v>521</v>
      </c>
      <c r="C70" s="30" t="str">
        <f t="shared" si="24"/>
        <v>3</v>
      </c>
      <c r="D70" s="30" t="str">
        <f t="shared" si="25"/>
        <v>32</v>
      </c>
      <c r="E70" s="26" t="str">
        <f t="shared" si="15"/>
        <v>321</v>
      </c>
      <c r="F70" s="26" t="s">
        <v>130</v>
      </c>
      <c r="G70" s="26" t="s">
        <v>169</v>
      </c>
      <c r="H70" s="26" t="s">
        <v>132</v>
      </c>
      <c r="I70" s="27">
        <v>1600</v>
      </c>
      <c r="J70" s="27">
        <f t="shared" si="21"/>
        <v>812</v>
      </c>
      <c r="K70" s="27">
        <v>788</v>
      </c>
      <c r="L70" s="27">
        <v>0</v>
      </c>
      <c r="M70" s="27">
        <v>812</v>
      </c>
      <c r="N70" s="27">
        <v>0</v>
      </c>
      <c r="O70" s="27">
        <v>788</v>
      </c>
      <c r="P70" s="28">
        <v>0.50800000000000001</v>
      </c>
      <c r="Q70" s="27">
        <f t="shared" si="26"/>
        <v>812</v>
      </c>
      <c r="R70" s="27"/>
      <c r="S70" s="27">
        <f t="shared" si="27"/>
        <v>812</v>
      </c>
      <c r="T70" s="27">
        <f t="shared" si="22"/>
        <v>2373.48</v>
      </c>
      <c r="U70" s="27">
        <f t="shared" si="28"/>
        <v>2373.48</v>
      </c>
      <c r="V70" s="27">
        <f t="shared" si="11"/>
        <v>0</v>
      </c>
      <c r="W70" s="27"/>
      <c r="X70" s="27">
        <f t="shared" si="12"/>
        <v>2373.48</v>
      </c>
      <c r="Y70" s="27">
        <f t="shared" si="13"/>
        <v>0</v>
      </c>
      <c r="Z70" s="27"/>
      <c r="AA70" s="27">
        <v>2373.48</v>
      </c>
      <c r="AB70" s="27"/>
      <c r="AC70" s="27"/>
      <c r="AF70" s="27">
        <v>2373.48</v>
      </c>
    </row>
    <row r="71" spans="1:32" ht="20.100000000000001" customHeight="1" outlineLevel="1" x14ac:dyDescent="0.2">
      <c r="A71" s="26" t="s">
        <v>327</v>
      </c>
      <c r="B71" s="30">
        <v>521</v>
      </c>
      <c r="C71" s="30" t="str">
        <f t="shared" si="24"/>
        <v>3</v>
      </c>
      <c r="D71" s="30" t="str">
        <f t="shared" si="25"/>
        <v>32</v>
      </c>
      <c r="E71" s="26" t="str">
        <f t="shared" si="15"/>
        <v>321</v>
      </c>
      <c r="F71" s="26" t="s">
        <v>66</v>
      </c>
      <c r="G71" s="26" t="s">
        <v>170</v>
      </c>
      <c r="H71" s="26" t="s">
        <v>68</v>
      </c>
      <c r="I71" s="27">
        <v>12600</v>
      </c>
      <c r="J71" s="27">
        <f t="shared" si="21"/>
        <v>6085.38</v>
      </c>
      <c r="K71" s="27">
        <v>6514.62</v>
      </c>
      <c r="L71" s="27">
        <v>0</v>
      </c>
      <c r="M71" s="27">
        <v>6085.38</v>
      </c>
      <c r="N71" s="27">
        <v>0</v>
      </c>
      <c r="O71" s="27">
        <v>6514.62</v>
      </c>
      <c r="P71" s="28">
        <v>0.48299999999999998</v>
      </c>
      <c r="Q71" s="27">
        <f t="shared" si="26"/>
        <v>6085.38</v>
      </c>
      <c r="R71" s="27"/>
      <c r="S71" s="27">
        <f t="shared" si="27"/>
        <v>6085.38</v>
      </c>
      <c r="T71" s="27">
        <f t="shared" si="22"/>
        <v>12083.18</v>
      </c>
      <c r="U71" s="27">
        <f t="shared" si="28"/>
        <v>12083.18</v>
      </c>
      <c r="V71" s="27">
        <f t="shared" si="11"/>
        <v>0</v>
      </c>
      <c r="W71" s="27"/>
      <c r="X71" s="27">
        <f t="shared" si="12"/>
        <v>12083.18</v>
      </c>
      <c r="Y71" s="27">
        <f t="shared" si="13"/>
        <v>0</v>
      </c>
      <c r="Z71" s="27"/>
      <c r="AA71" s="27">
        <v>2463.36</v>
      </c>
      <c r="AB71" s="27">
        <v>9619.82</v>
      </c>
      <c r="AC71" s="27"/>
      <c r="AF71" s="27">
        <v>12083.18</v>
      </c>
    </row>
    <row r="72" spans="1:32" ht="20.100000000000001" customHeight="1" outlineLevel="1" x14ac:dyDescent="0.2">
      <c r="A72" s="26" t="s">
        <v>327</v>
      </c>
      <c r="B72" s="30">
        <v>521</v>
      </c>
      <c r="C72" s="30" t="str">
        <f t="shared" si="24"/>
        <v>3</v>
      </c>
      <c r="D72" s="30" t="str">
        <f t="shared" si="25"/>
        <v>32</v>
      </c>
      <c r="E72" s="26" t="str">
        <f t="shared" si="15"/>
        <v>321</v>
      </c>
      <c r="F72" s="26" t="s">
        <v>69</v>
      </c>
      <c r="G72" s="26" t="s">
        <v>171</v>
      </c>
      <c r="H72" s="26" t="s">
        <v>71</v>
      </c>
      <c r="I72" s="27">
        <v>600</v>
      </c>
      <c r="J72" s="27">
        <f t="shared" si="21"/>
        <v>0</v>
      </c>
      <c r="K72" s="27">
        <v>600</v>
      </c>
      <c r="L72" s="27">
        <v>0</v>
      </c>
      <c r="M72" s="27">
        <v>0</v>
      </c>
      <c r="N72" s="27">
        <v>0</v>
      </c>
      <c r="O72" s="27">
        <v>600</v>
      </c>
      <c r="P72" s="28">
        <v>0</v>
      </c>
      <c r="Q72" s="27">
        <f t="shared" si="26"/>
        <v>0</v>
      </c>
      <c r="R72" s="27"/>
      <c r="S72" s="27">
        <f t="shared" si="27"/>
        <v>0</v>
      </c>
      <c r="T72" s="27">
        <f t="shared" si="22"/>
        <v>753.75</v>
      </c>
      <c r="U72" s="27">
        <f t="shared" si="28"/>
        <v>753.75</v>
      </c>
      <c r="V72" s="27">
        <f t="shared" si="11"/>
        <v>0</v>
      </c>
      <c r="W72" s="27"/>
      <c r="X72" s="27">
        <f t="shared" si="12"/>
        <v>753.75</v>
      </c>
      <c r="Y72" s="27">
        <f t="shared" si="13"/>
        <v>0</v>
      </c>
      <c r="Z72" s="27"/>
      <c r="AA72" s="27">
        <v>753.75</v>
      </c>
      <c r="AB72" s="27"/>
      <c r="AC72" s="27"/>
      <c r="AF72" s="27">
        <v>753.75</v>
      </c>
    </row>
    <row r="73" spans="1:32" ht="20.100000000000001" customHeight="1" outlineLevel="1" x14ac:dyDescent="0.2">
      <c r="A73" s="26" t="s">
        <v>327</v>
      </c>
      <c r="B73" s="30">
        <v>521</v>
      </c>
      <c r="C73" s="30" t="str">
        <f t="shared" si="24"/>
        <v>3</v>
      </c>
      <c r="D73" s="30" t="str">
        <f t="shared" si="25"/>
        <v>32</v>
      </c>
      <c r="E73" s="26" t="str">
        <f t="shared" si="15"/>
        <v>321</v>
      </c>
      <c r="F73" s="26" t="s">
        <v>172</v>
      </c>
      <c r="G73" s="26" t="s">
        <v>173</v>
      </c>
      <c r="H73" s="26" t="s">
        <v>174</v>
      </c>
      <c r="I73" s="27">
        <v>1000</v>
      </c>
      <c r="J73" s="27">
        <f t="shared" si="21"/>
        <v>476</v>
      </c>
      <c r="K73" s="27">
        <v>524</v>
      </c>
      <c r="L73" s="27">
        <v>0</v>
      </c>
      <c r="M73" s="27">
        <v>476</v>
      </c>
      <c r="N73" s="27">
        <v>0</v>
      </c>
      <c r="O73" s="27">
        <v>524</v>
      </c>
      <c r="P73" s="28">
        <v>0.47599999999999998</v>
      </c>
      <c r="Q73" s="27">
        <f t="shared" si="26"/>
        <v>476</v>
      </c>
      <c r="R73" s="27"/>
      <c r="S73" s="27">
        <f t="shared" si="27"/>
        <v>476</v>
      </c>
      <c r="T73" s="27">
        <f t="shared" si="22"/>
        <v>829.5</v>
      </c>
      <c r="U73" s="27">
        <f t="shared" si="28"/>
        <v>829.5</v>
      </c>
      <c r="V73" s="27">
        <f t="shared" si="11"/>
        <v>0</v>
      </c>
      <c r="W73" s="27"/>
      <c r="X73" s="27">
        <f t="shared" si="12"/>
        <v>829.5</v>
      </c>
      <c r="Y73" s="27">
        <f t="shared" si="13"/>
        <v>0</v>
      </c>
      <c r="Z73" s="27"/>
      <c r="AA73" s="27">
        <v>829.5</v>
      </c>
      <c r="AB73" s="27"/>
      <c r="AC73" s="27"/>
      <c r="AF73" s="27">
        <v>829.5</v>
      </c>
    </row>
    <row r="74" spans="1:32" ht="20.100000000000001" customHeight="1" outlineLevel="1" x14ac:dyDescent="0.2">
      <c r="A74" s="26" t="s">
        <v>327</v>
      </c>
      <c r="B74" s="30">
        <v>521</v>
      </c>
      <c r="C74" s="30" t="str">
        <f t="shared" si="24"/>
        <v>3</v>
      </c>
      <c r="D74" s="30" t="str">
        <f t="shared" si="25"/>
        <v>32</v>
      </c>
      <c r="E74" s="26" t="str">
        <f t="shared" si="15"/>
        <v>322</v>
      </c>
      <c r="F74" s="26" t="s">
        <v>72</v>
      </c>
      <c r="G74" s="26" t="s">
        <v>175</v>
      </c>
      <c r="H74" s="26" t="s">
        <v>74</v>
      </c>
      <c r="I74" s="27">
        <v>1900</v>
      </c>
      <c r="J74" s="27">
        <f t="shared" si="21"/>
        <v>1304</v>
      </c>
      <c r="K74" s="27">
        <v>596</v>
      </c>
      <c r="L74" s="27">
        <v>0</v>
      </c>
      <c r="M74" s="27">
        <v>1304</v>
      </c>
      <c r="N74" s="27">
        <v>0</v>
      </c>
      <c r="O74" s="27">
        <v>596</v>
      </c>
      <c r="P74" s="28">
        <v>0.68600000000000005</v>
      </c>
      <c r="Q74" s="27">
        <f t="shared" si="26"/>
        <v>1304</v>
      </c>
      <c r="R74" s="27"/>
      <c r="S74" s="27">
        <f t="shared" si="27"/>
        <v>1304</v>
      </c>
      <c r="T74" s="27">
        <f t="shared" si="22"/>
        <v>2334.77</v>
      </c>
      <c r="U74" s="27">
        <f t="shared" si="28"/>
        <v>2334.77</v>
      </c>
      <c r="V74" s="27">
        <f t="shared" si="11"/>
        <v>0</v>
      </c>
      <c r="W74" s="27"/>
      <c r="X74" s="27">
        <f t="shared" si="12"/>
        <v>2334.77</v>
      </c>
      <c r="Y74" s="27">
        <f t="shared" si="13"/>
        <v>0</v>
      </c>
      <c r="Z74" s="27"/>
      <c r="AA74" s="27">
        <v>578.17999999999995</v>
      </c>
      <c r="AB74" s="27">
        <v>1756.59</v>
      </c>
      <c r="AC74" s="27"/>
      <c r="AF74" s="27">
        <v>2334.77</v>
      </c>
    </row>
    <row r="75" spans="1:32" ht="20.100000000000001" customHeight="1" outlineLevel="1" x14ac:dyDescent="0.2">
      <c r="A75" s="26" t="s">
        <v>327</v>
      </c>
      <c r="B75" s="30">
        <v>521</v>
      </c>
      <c r="C75" s="30" t="str">
        <f t="shared" si="24"/>
        <v>3</v>
      </c>
      <c r="D75" s="30" t="str">
        <f t="shared" si="25"/>
        <v>32</v>
      </c>
      <c r="E75" s="26" t="str">
        <f t="shared" si="15"/>
        <v>322</v>
      </c>
      <c r="F75" s="26" t="s">
        <v>75</v>
      </c>
      <c r="G75" s="26" t="s">
        <v>176</v>
      </c>
      <c r="H75" s="26" t="s">
        <v>77</v>
      </c>
      <c r="I75" s="27">
        <v>1300</v>
      </c>
      <c r="J75" s="27">
        <f t="shared" si="21"/>
        <v>767.16</v>
      </c>
      <c r="K75" s="27">
        <v>532.84</v>
      </c>
      <c r="L75" s="27">
        <v>0</v>
      </c>
      <c r="M75" s="27">
        <v>767.16</v>
      </c>
      <c r="N75" s="27">
        <v>0</v>
      </c>
      <c r="O75" s="27">
        <v>532.84</v>
      </c>
      <c r="P75" s="28">
        <v>0.59</v>
      </c>
      <c r="Q75" s="27">
        <f t="shared" si="26"/>
        <v>767.16</v>
      </c>
      <c r="R75" s="27"/>
      <c r="S75" s="27">
        <f t="shared" si="27"/>
        <v>767.16</v>
      </c>
      <c r="T75" s="27">
        <f t="shared" si="22"/>
        <v>1177.73</v>
      </c>
      <c r="U75" s="27">
        <f t="shared" si="28"/>
        <v>1177.73</v>
      </c>
      <c r="V75" s="27">
        <f t="shared" si="11"/>
        <v>0</v>
      </c>
      <c r="W75" s="27"/>
      <c r="X75" s="27">
        <f t="shared" si="12"/>
        <v>1177.73</v>
      </c>
      <c r="Y75" s="27">
        <f t="shared" si="13"/>
        <v>0</v>
      </c>
      <c r="Z75" s="27"/>
      <c r="AA75" s="27">
        <v>11.93</v>
      </c>
      <c r="AB75" s="27">
        <v>1165.8</v>
      </c>
      <c r="AC75" s="27"/>
      <c r="AF75" s="27">
        <v>1177.73</v>
      </c>
    </row>
    <row r="76" spans="1:32" ht="20.100000000000001" customHeight="1" outlineLevel="1" x14ac:dyDescent="0.2">
      <c r="A76" s="26" t="s">
        <v>327</v>
      </c>
      <c r="B76" s="30">
        <v>521</v>
      </c>
      <c r="C76" s="30" t="str">
        <f t="shared" si="24"/>
        <v>3</v>
      </c>
      <c r="D76" s="30" t="str">
        <f t="shared" si="25"/>
        <v>32</v>
      </c>
      <c r="E76" s="26" t="str">
        <f t="shared" si="15"/>
        <v>322</v>
      </c>
      <c r="F76" s="26" t="s">
        <v>78</v>
      </c>
      <c r="G76" s="26" t="s">
        <v>177</v>
      </c>
      <c r="H76" s="26" t="s">
        <v>80</v>
      </c>
      <c r="I76" s="27">
        <v>12000</v>
      </c>
      <c r="J76" s="27">
        <f t="shared" si="21"/>
        <v>6576.97</v>
      </c>
      <c r="K76" s="27">
        <v>5423.03</v>
      </c>
      <c r="L76" s="27">
        <v>0</v>
      </c>
      <c r="M76" s="27">
        <v>6576.97</v>
      </c>
      <c r="N76" s="27">
        <v>0</v>
      </c>
      <c r="O76" s="27">
        <v>5423.03</v>
      </c>
      <c r="P76" s="28">
        <v>0.54800000000000004</v>
      </c>
      <c r="Q76" s="27">
        <f t="shared" si="26"/>
        <v>6576.97</v>
      </c>
      <c r="R76" s="27"/>
      <c r="S76" s="27">
        <f t="shared" si="27"/>
        <v>6576.97</v>
      </c>
      <c r="T76" s="27">
        <f t="shared" si="22"/>
        <v>11589.33</v>
      </c>
      <c r="U76" s="27">
        <f t="shared" si="28"/>
        <v>11589.33</v>
      </c>
      <c r="V76" s="27">
        <f t="shared" si="11"/>
        <v>0</v>
      </c>
      <c r="W76" s="27"/>
      <c r="X76" s="27">
        <f t="shared" si="12"/>
        <v>11589.33</v>
      </c>
      <c r="Y76" s="27">
        <f t="shared" si="13"/>
        <v>0</v>
      </c>
      <c r="Z76" s="27"/>
      <c r="AA76" s="27"/>
      <c r="AB76" s="27">
        <v>11589.33</v>
      </c>
      <c r="AC76" s="27"/>
      <c r="AF76" s="27">
        <v>11589.33</v>
      </c>
    </row>
    <row r="77" spans="1:32" ht="20.100000000000001" customHeight="1" outlineLevel="1" x14ac:dyDescent="0.2">
      <c r="A77" s="26" t="s">
        <v>327</v>
      </c>
      <c r="B77" s="30">
        <v>521</v>
      </c>
      <c r="C77" s="30" t="str">
        <f t="shared" si="24"/>
        <v>3</v>
      </c>
      <c r="D77" s="30" t="str">
        <f t="shared" si="25"/>
        <v>32</v>
      </c>
      <c r="E77" s="26" t="str">
        <f t="shared" si="15"/>
        <v>322</v>
      </c>
      <c r="F77" s="26" t="s">
        <v>81</v>
      </c>
      <c r="G77" s="26" t="s">
        <v>178</v>
      </c>
      <c r="H77" s="26" t="s">
        <v>83</v>
      </c>
      <c r="I77" s="27">
        <v>100</v>
      </c>
      <c r="J77" s="27">
        <f t="shared" si="21"/>
        <v>0</v>
      </c>
      <c r="K77" s="27">
        <v>100</v>
      </c>
      <c r="L77" s="27">
        <v>0</v>
      </c>
      <c r="M77" s="27">
        <v>0</v>
      </c>
      <c r="N77" s="27">
        <v>0</v>
      </c>
      <c r="O77" s="27">
        <v>100</v>
      </c>
      <c r="P77" s="28">
        <v>0</v>
      </c>
      <c r="Q77" s="27">
        <f t="shared" si="26"/>
        <v>0</v>
      </c>
      <c r="R77" s="27"/>
      <c r="S77" s="27">
        <f t="shared" si="27"/>
        <v>0</v>
      </c>
      <c r="T77" s="27">
        <f t="shared" si="22"/>
        <v>1121.22</v>
      </c>
      <c r="U77" s="27">
        <f t="shared" si="28"/>
        <v>1121.22</v>
      </c>
      <c r="V77" s="27">
        <f t="shared" si="11"/>
        <v>0</v>
      </c>
      <c r="W77" s="27"/>
      <c r="X77" s="27">
        <f t="shared" si="12"/>
        <v>1121.22</v>
      </c>
      <c r="Y77" s="27">
        <f t="shared" si="13"/>
        <v>0</v>
      </c>
      <c r="Z77" s="27"/>
      <c r="AA77" s="27"/>
      <c r="AB77" s="27">
        <v>1053.1400000000001</v>
      </c>
      <c r="AC77" s="27">
        <v>68.08</v>
      </c>
      <c r="AF77" s="27">
        <v>1121.22</v>
      </c>
    </row>
    <row r="78" spans="1:32" ht="20.100000000000001" customHeight="1" outlineLevel="1" x14ac:dyDescent="0.2">
      <c r="A78" s="26" t="s">
        <v>327</v>
      </c>
      <c r="B78" s="30">
        <v>521</v>
      </c>
      <c r="C78" s="30" t="str">
        <f t="shared" si="24"/>
        <v>3</v>
      </c>
      <c r="D78" s="30" t="str">
        <f t="shared" si="25"/>
        <v>32</v>
      </c>
      <c r="E78" s="26" t="str">
        <f t="shared" si="15"/>
        <v>322</v>
      </c>
      <c r="F78" s="26" t="s">
        <v>84</v>
      </c>
      <c r="G78" s="26" t="s">
        <v>179</v>
      </c>
      <c r="H78" s="26" t="s">
        <v>86</v>
      </c>
      <c r="I78" s="27">
        <v>1300</v>
      </c>
      <c r="J78" s="27">
        <f t="shared" si="21"/>
        <v>0</v>
      </c>
      <c r="K78" s="27">
        <v>1300</v>
      </c>
      <c r="L78" s="27">
        <v>0</v>
      </c>
      <c r="M78" s="27">
        <v>0</v>
      </c>
      <c r="N78" s="27">
        <v>0</v>
      </c>
      <c r="O78" s="27">
        <v>1300</v>
      </c>
      <c r="P78" s="28">
        <v>0</v>
      </c>
      <c r="Q78" s="27">
        <f t="shared" si="26"/>
        <v>0</v>
      </c>
      <c r="R78" s="27"/>
      <c r="S78" s="27">
        <f t="shared" si="27"/>
        <v>0</v>
      </c>
      <c r="T78" s="27">
        <f t="shared" si="22"/>
        <v>697.75</v>
      </c>
      <c r="U78" s="27">
        <f t="shared" si="28"/>
        <v>697.75</v>
      </c>
      <c r="V78" s="27">
        <f t="shared" ref="V78:V110" si="29">T78-U78</f>
        <v>0</v>
      </c>
      <c r="W78" s="27"/>
      <c r="X78" s="27">
        <f t="shared" ref="X78:X94" si="30">W78+U78</f>
        <v>697.75</v>
      </c>
      <c r="Y78" s="27">
        <f t="shared" ref="Y78:Y94" si="31">T78-X78</f>
        <v>0</v>
      </c>
      <c r="Z78" s="27"/>
      <c r="AA78" s="27"/>
      <c r="AB78" s="27">
        <v>697.75</v>
      </c>
      <c r="AC78" s="27"/>
      <c r="AF78" s="27">
        <v>697.75</v>
      </c>
    </row>
    <row r="79" spans="1:32" ht="20.100000000000001" customHeight="1" outlineLevel="1" x14ac:dyDescent="0.2">
      <c r="A79" s="26" t="s">
        <v>327</v>
      </c>
      <c r="B79" s="30">
        <v>521</v>
      </c>
      <c r="C79" s="30" t="str">
        <f t="shared" si="24"/>
        <v>3</v>
      </c>
      <c r="D79" s="30" t="str">
        <f t="shared" si="25"/>
        <v>32</v>
      </c>
      <c r="E79" s="26" t="str">
        <f t="shared" si="15"/>
        <v>322</v>
      </c>
      <c r="F79" s="26" t="s">
        <v>138</v>
      </c>
      <c r="G79" s="26" t="s">
        <v>180</v>
      </c>
      <c r="H79" s="26" t="s">
        <v>140</v>
      </c>
      <c r="I79" s="27">
        <v>200</v>
      </c>
      <c r="J79" s="27">
        <f t="shared" si="21"/>
        <v>0</v>
      </c>
      <c r="K79" s="27">
        <v>200</v>
      </c>
      <c r="L79" s="27">
        <v>0</v>
      </c>
      <c r="M79" s="27">
        <v>0</v>
      </c>
      <c r="N79" s="27">
        <v>0</v>
      </c>
      <c r="O79" s="27">
        <v>200</v>
      </c>
      <c r="P79" s="28">
        <v>0</v>
      </c>
      <c r="Q79" s="27">
        <f t="shared" si="26"/>
        <v>0</v>
      </c>
      <c r="R79" s="27"/>
      <c r="S79" s="27">
        <f t="shared" si="27"/>
        <v>0</v>
      </c>
      <c r="T79" s="27">
        <f t="shared" si="22"/>
        <v>0</v>
      </c>
      <c r="U79" s="27">
        <f t="shared" si="28"/>
        <v>0</v>
      </c>
      <c r="V79" s="27">
        <f t="shared" si="29"/>
        <v>0</v>
      </c>
      <c r="W79" s="27"/>
      <c r="X79" s="27">
        <f t="shared" si="30"/>
        <v>0</v>
      </c>
      <c r="Y79" s="27">
        <f t="shared" si="31"/>
        <v>0</v>
      </c>
      <c r="Z79" s="27"/>
      <c r="AA79" s="27"/>
      <c r="AB79" s="27"/>
      <c r="AC79" s="27"/>
      <c r="AF79" s="27">
        <v>0</v>
      </c>
    </row>
    <row r="80" spans="1:32" ht="20.100000000000001" customHeight="1" outlineLevel="1" x14ac:dyDescent="0.2">
      <c r="A80" s="26" t="s">
        <v>327</v>
      </c>
      <c r="B80" s="30">
        <v>521</v>
      </c>
      <c r="C80" s="30" t="str">
        <f t="shared" si="24"/>
        <v>3</v>
      </c>
      <c r="D80" s="30" t="str">
        <f t="shared" si="25"/>
        <v>32</v>
      </c>
      <c r="E80" s="26" t="str">
        <f t="shared" si="15"/>
        <v>323</v>
      </c>
      <c r="F80" s="26" t="s">
        <v>87</v>
      </c>
      <c r="G80" s="26" t="s">
        <v>181</v>
      </c>
      <c r="H80" s="26" t="s">
        <v>89</v>
      </c>
      <c r="I80" s="27">
        <v>4000</v>
      </c>
      <c r="J80" s="27">
        <f t="shared" si="21"/>
        <v>572.13000000000011</v>
      </c>
      <c r="K80" s="27">
        <v>3427.87</v>
      </c>
      <c r="L80" s="27">
        <v>0</v>
      </c>
      <c r="M80" s="27">
        <v>572.13</v>
      </c>
      <c r="N80" s="27">
        <v>0</v>
      </c>
      <c r="O80" s="27">
        <v>3427.87</v>
      </c>
      <c r="P80" s="28">
        <v>0.14299999999999999</v>
      </c>
      <c r="Q80" s="27">
        <f t="shared" si="26"/>
        <v>572.13000000000011</v>
      </c>
      <c r="R80" s="27"/>
      <c r="S80" s="27">
        <f t="shared" si="27"/>
        <v>572.13000000000011</v>
      </c>
      <c r="T80" s="27">
        <f t="shared" si="22"/>
        <v>2336.14</v>
      </c>
      <c r="U80" s="27">
        <f t="shared" si="28"/>
        <v>2336.14</v>
      </c>
      <c r="V80" s="27">
        <f t="shared" si="29"/>
        <v>0</v>
      </c>
      <c r="W80" s="27"/>
      <c r="X80" s="27">
        <f t="shared" si="30"/>
        <v>2336.14</v>
      </c>
      <c r="Y80" s="27">
        <f t="shared" si="31"/>
        <v>0</v>
      </c>
      <c r="Z80" s="27"/>
      <c r="AA80" s="27">
        <v>61.67</v>
      </c>
      <c r="AB80" s="27">
        <v>2274.4699999999998</v>
      </c>
      <c r="AC80" s="27"/>
      <c r="AF80" s="27">
        <v>2336.14</v>
      </c>
    </row>
    <row r="81" spans="1:32" ht="20.100000000000001" customHeight="1" outlineLevel="1" x14ac:dyDescent="0.2">
      <c r="A81" s="26" t="s">
        <v>327</v>
      </c>
      <c r="B81" s="30">
        <v>521</v>
      </c>
      <c r="C81" s="30" t="str">
        <f t="shared" si="24"/>
        <v>3</v>
      </c>
      <c r="D81" s="30" t="str">
        <f t="shared" si="25"/>
        <v>32</v>
      </c>
      <c r="E81" s="26" t="str">
        <f t="shared" si="15"/>
        <v>323</v>
      </c>
      <c r="F81" s="26" t="s">
        <v>38</v>
      </c>
      <c r="G81" s="26" t="s">
        <v>182</v>
      </c>
      <c r="H81" s="26" t="s">
        <v>40</v>
      </c>
      <c r="I81" s="27">
        <v>22300</v>
      </c>
      <c r="J81" s="27">
        <f t="shared" si="21"/>
        <v>7692.5499999999993</v>
      </c>
      <c r="K81" s="27">
        <v>14607.45</v>
      </c>
      <c r="L81" s="27">
        <v>0</v>
      </c>
      <c r="M81" s="27">
        <v>7692.55</v>
      </c>
      <c r="N81" s="27">
        <v>0</v>
      </c>
      <c r="O81" s="27">
        <v>14607.45</v>
      </c>
      <c r="P81" s="28">
        <v>0.34499999999999997</v>
      </c>
      <c r="Q81" s="27">
        <f t="shared" si="26"/>
        <v>7692.5499999999993</v>
      </c>
      <c r="R81" s="27"/>
      <c r="S81" s="27">
        <f t="shared" si="27"/>
        <v>7692.5499999999993</v>
      </c>
      <c r="T81" s="27">
        <f t="shared" si="22"/>
        <v>16693.419999999998</v>
      </c>
      <c r="U81" s="27">
        <f t="shared" si="28"/>
        <v>16693.419999999998</v>
      </c>
      <c r="V81" s="27">
        <f t="shared" si="29"/>
        <v>0</v>
      </c>
      <c r="W81" s="27"/>
      <c r="X81" s="27">
        <f t="shared" si="30"/>
        <v>16693.419999999998</v>
      </c>
      <c r="Y81" s="27">
        <f t="shared" si="31"/>
        <v>0</v>
      </c>
      <c r="Z81" s="27"/>
      <c r="AA81" s="27"/>
      <c r="AB81" s="27">
        <v>7921.78</v>
      </c>
      <c r="AC81" s="27">
        <v>8771.64</v>
      </c>
      <c r="AF81" s="27">
        <v>16693.419999999998</v>
      </c>
    </row>
    <row r="82" spans="1:32" ht="20.100000000000001" customHeight="1" outlineLevel="1" x14ac:dyDescent="0.2">
      <c r="A82" s="26" t="s">
        <v>327</v>
      </c>
      <c r="B82" s="30">
        <v>521</v>
      </c>
      <c r="C82" s="30" t="str">
        <f t="shared" si="24"/>
        <v>3</v>
      </c>
      <c r="D82" s="30" t="str">
        <f t="shared" si="25"/>
        <v>32</v>
      </c>
      <c r="E82" s="26" t="str">
        <f t="shared" si="15"/>
        <v>323</v>
      </c>
      <c r="F82" s="26" t="s">
        <v>94</v>
      </c>
      <c r="G82" s="26" t="s">
        <v>183</v>
      </c>
      <c r="H82" s="26" t="s">
        <v>96</v>
      </c>
      <c r="I82" s="27">
        <v>8700</v>
      </c>
      <c r="J82" s="27">
        <f t="shared" si="21"/>
        <v>3922.71</v>
      </c>
      <c r="K82" s="27">
        <v>4777.29</v>
      </c>
      <c r="L82" s="27">
        <v>0</v>
      </c>
      <c r="M82" s="27">
        <v>3922.71</v>
      </c>
      <c r="N82" s="27">
        <v>0</v>
      </c>
      <c r="O82" s="27">
        <v>4777.29</v>
      </c>
      <c r="P82" s="28">
        <v>0.45100000000000001</v>
      </c>
      <c r="Q82" s="27">
        <f t="shared" si="26"/>
        <v>3922.71</v>
      </c>
      <c r="R82" s="27"/>
      <c r="S82" s="27">
        <f t="shared" si="27"/>
        <v>3922.71</v>
      </c>
      <c r="T82" s="27">
        <f t="shared" si="22"/>
        <v>9361.1200000000008</v>
      </c>
      <c r="U82" s="27">
        <f t="shared" si="28"/>
        <v>9361.1200000000008</v>
      </c>
      <c r="V82" s="27">
        <f t="shared" si="29"/>
        <v>0</v>
      </c>
      <c r="W82" s="27"/>
      <c r="X82" s="27">
        <f t="shared" si="30"/>
        <v>9361.1200000000008</v>
      </c>
      <c r="Y82" s="27">
        <f t="shared" si="31"/>
        <v>0</v>
      </c>
      <c r="Z82" s="27"/>
      <c r="AA82" s="27"/>
      <c r="AB82" s="27">
        <v>9361.1200000000008</v>
      </c>
      <c r="AC82" s="27"/>
      <c r="AF82" s="27">
        <v>9361.1200000000008</v>
      </c>
    </row>
    <row r="83" spans="1:32" ht="20.100000000000001" customHeight="1" outlineLevel="1" x14ac:dyDescent="0.2">
      <c r="A83" s="26" t="s">
        <v>327</v>
      </c>
      <c r="B83" s="30">
        <v>521</v>
      </c>
      <c r="C83" s="30" t="str">
        <f t="shared" si="24"/>
        <v>3</v>
      </c>
      <c r="D83" s="30" t="str">
        <f t="shared" si="25"/>
        <v>32</v>
      </c>
      <c r="E83" s="26" t="str">
        <f t="shared" si="15"/>
        <v>323</v>
      </c>
      <c r="F83" s="26" t="s">
        <v>97</v>
      </c>
      <c r="G83" s="26" t="s">
        <v>184</v>
      </c>
      <c r="H83" s="26" t="s">
        <v>99</v>
      </c>
      <c r="I83" s="27">
        <v>600</v>
      </c>
      <c r="J83" s="27">
        <f t="shared" si="21"/>
        <v>1809.25</v>
      </c>
      <c r="K83" s="27">
        <v>-1209.25</v>
      </c>
      <c r="L83" s="27">
        <v>0</v>
      </c>
      <c r="M83" s="27">
        <v>1809.25</v>
      </c>
      <c r="N83" s="27">
        <v>0</v>
      </c>
      <c r="O83" s="27">
        <v>-1209.25</v>
      </c>
      <c r="P83" s="28">
        <v>3.0150000000000001</v>
      </c>
      <c r="Q83" s="27">
        <f t="shared" si="26"/>
        <v>1809.25</v>
      </c>
      <c r="R83" s="27"/>
      <c r="S83" s="27">
        <f t="shared" si="27"/>
        <v>1809.25</v>
      </c>
      <c r="T83" s="27">
        <f t="shared" si="22"/>
        <v>3651</v>
      </c>
      <c r="U83" s="27">
        <f t="shared" si="28"/>
        <v>3651</v>
      </c>
      <c r="V83" s="27">
        <f t="shared" si="29"/>
        <v>0</v>
      </c>
      <c r="W83" s="27"/>
      <c r="X83" s="27">
        <f t="shared" si="30"/>
        <v>3651</v>
      </c>
      <c r="Y83" s="27">
        <f t="shared" si="31"/>
        <v>0</v>
      </c>
      <c r="Z83" s="27"/>
      <c r="AA83" s="27"/>
      <c r="AB83" s="27"/>
      <c r="AC83" s="27">
        <v>3651</v>
      </c>
      <c r="AF83" s="27">
        <v>3651</v>
      </c>
    </row>
    <row r="84" spans="1:32" ht="20.100000000000001" customHeight="1" outlineLevel="1" x14ac:dyDescent="0.2">
      <c r="A84" s="26" t="s">
        <v>327</v>
      </c>
      <c r="B84" s="30">
        <v>521</v>
      </c>
      <c r="C84" s="30" t="str">
        <f t="shared" si="24"/>
        <v>3</v>
      </c>
      <c r="D84" s="30" t="str">
        <f t="shared" si="25"/>
        <v>32</v>
      </c>
      <c r="E84" s="26" t="str">
        <f t="shared" si="15"/>
        <v>323</v>
      </c>
      <c r="F84" s="26" t="s">
        <v>100</v>
      </c>
      <c r="G84" s="26" t="s">
        <v>185</v>
      </c>
      <c r="H84" s="26" t="s">
        <v>102</v>
      </c>
      <c r="I84" s="27">
        <v>700</v>
      </c>
      <c r="J84" s="27">
        <f t="shared" si="21"/>
        <v>0</v>
      </c>
      <c r="K84" s="27">
        <v>700</v>
      </c>
      <c r="L84" s="27">
        <v>0</v>
      </c>
      <c r="M84" s="27">
        <v>0</v>
      </c>
      <c r="N84" s="27">
        <v>0</v>
      </c>
      <c r="O84" s="27">
        <v>700</v>
      </c>
      <c r="P84" s="28">
        <v>0</v>
      </c>
      <c r="Q84" s="27">
        <f t="shared" si="26"/>
        <v>0</v>
      </c>
      <c r="R84" s="27"/>
      <c r="S84" s="27">
        <f t="shared" si="27"/>
        <v>0</v>
      </c>
      <c r="T84" s="27">
        <f t="shared" si="22"/>
        <v>0</v>
      </c>
      <c r="U84" s="27">
        <f t="shared" si="28"/>
        <v>0</v>
      </c>
      <c r="V84" s="27">
        <f t="shared" si="29"/>
        <v>0</v>
      </c>
      <c r="W84" s="27"/>
      <c r="X84" s="27">
        <f t="shared" si="30"/>
        <v>0</v>
      </c>
      <c r="Y84" s="27">
        <f t="shared" si="31"/>
        <v>0</v>
      </c>
      <c r="Z84" s="27"/>
      <c r="AA84" s="27"/>
      <c r="AB84" s="27"/>
      <c r="AC84" s="27"/>
      <c r="AF84" s="27">
        <v>0</v>
      </c>
    </row>
    <row r="85" spans="1:32" ht="20.100000000000001" customHeight="1" outlineLevel="1" x14ac:dyDescent="0.2">
      <c r="A85" s="26" t="s">
        <v>327</v>
      </c>
      <c r="B85" s="30">
        <v>521</v>
      </c>
      <c r="C85" s="30" t="str">
        <f t="shared" si="24"/>
        <v>3</v>
      </c>
      <c r="D85" s="30" t="str">
        <f t="shared" si="25"/>
        <v>32</v>
      </c>
      <c r="E85" s="26" t="str">
        <f t="shared" si="15"/>
        <v>323</v>
      </c>
      <c r="F85" s="26" t="s">
        <v>41</v>
      </c>
      <c r="G85" s="26" t="s">
        <v>186</v>
      </c>
      <c r="H85" s="26" t="s">
        <v>43</v>
      </c>
      <c r="I85" s="27">
        <v>600</v>
      </c>
      <c r="J85" s="27">
        <f t="shared" si="21"/>
        <v>0</v>
      </c>
      <c r="K85" s="27">
        <v>600</v>
      </c>
      <c r="L85" s="27">
        <v>0</v>
      </c>
      <c r="M85" s="27">
        <v>0</v>
      </c>
      <c r="N85" s="27">
        <v>0</v>
      </c>
      <c r="O85" s="27">
        <v>600</v>
      </c>
      <c r="P85" s="28">
        <v>0</v>
      </c>
      <c r="Q85" s="27">
        <f t="shared" si="26"/>
        <v>0</v>
      </c>
      <c r="R85" s="27"/>
      <c r="S85" s="27">
        <f t="shared" si="27"/>
        <v>0</v>
      </c>
      <c r="T85" s="27">
        <f t="shared" si="22"/>
        <v>740</v>
      </c>
      <c r="U85" s="27">
        <f t="shared" si="28"/>
        <v>740</v>
      </c>
      <c r="V85" s="27">
        <f t="shared" si="29"/>
        <v>0</v>
      </c>
      <c r="W85" s="27"/>
      <c r="X85" s="27">
        <f t="shared" si="30"/>
        <v>740</v>
      </c>
      <c r="Y85" s="27">
        <f t="shared" si="31"/>
        <v>0</v>
      </c>
      <c r="Z85" s="27"/>
      <c r="AA85" s="27">
        <v>740</v>
      </c>
      <c r="AB85" s="27"/>
      <c r="AC85" s="27"/>
      <c r="AF85" s="27">
        <v>740</v>
      </c>
    </row>
    <row r="86" spans="1:32" ht="20.100000000000001" customHeight="1" outlineLevel="1" x14ac:dyDescent="0.2">
      <c r="A86" s="26" t="s">
        <v>327</v>
      </c>
      <c r="B86" s="30">
        <v>521</v>
      </c>
      <c r="C86" s="30" t="str">
        <f t="shared" si="24"/>
        <v>3</v>
      </c>
      <c r="D86" s="30" t="str">
        <f t="shared" si="25"/>
        <v>32</v>
      </c>
      <c r="E86" s="26" t="str">
        <f t="shared" si="15"/>
        <v>323</v>
      </c>
      <c r="F86" s="26" t="s">
        <v>104</v>
      </c>
      <c r="G86" s="26" t="s">
        <v>187</v>
      </c>
      <c r="H86" s="26" t="s">
        <v>106</v>
      </c>
      <c r="I86" s="27">
        <v>5400</v>
      </c>
      <c r="J86" s="27">
        <f t="shared" si="21"/>
        <v>123.55000000000018</v>
      </c>
      <c r="K86" s="27">
        <v>5276.45</v>
      </c>
      <c r="L86" s="27">
        <v>0</v>
      </c>
      <c r="M86" s="27">
        <v>123.55</v>
      </c>
      <c r="N86" s="27">
        <v>0</v>
      </c>
      <c r="O86" s="27">
        <v>5276.45</v>
      </c>
      <c r="P86" s="28">
        <v>2.3E-2</v>
      </c>
      <c r="Q86" s="27">
        <f t="shared" si="26"/>
        <v>123.55000000000018</v>
      </c>
      <c r="R86" s="27"/>
      <c r="S86" s="27">
        <f t="shared" si="27"/>
        <v>123.55000000000018</v>
      </c>
      <c r="T86" s="27">
        <f t="shared" si="22"/>
        <v>123.55</v>
      </c>
      <c r="U86" s="27">
        <f t="shared" si="28"/>
        <v>123.55</v>
      </c>
      <c r="V86" s="27">
        <f t="shared" si="29"/>
        <v>0</v>
      </c>
      <c r="W86" s="27"/>
      <c r="X86" s="27">
        <f t="shared" si="30"/>
        <v>123.55</v>
      </c>
      <c r="Y86" s="27">
        <f t="shared" si="31"/>
        <v>0</v>
      </c>
      <c r="Z86" s="27"/>
      <c r="AA86" s="27"/>
      <c r="AB86" s="27">
        <v>123.55</v>
      </c>
      <c r="AC86" s="27"/>
      <c r="AF86" s="27">
        <v>123.55</v>
      </c>
    </row>
    <row r="87" spans="1:32" ht="20.100000000000001" customHeight="1" outlineLevel="1" x14ac:dyDescent="0.2">
      <c r="A87" s="26" t="s">
        <v>327</v>
      </c>
      <c r="B87" s="30">
        <v>521</v>
      </c>
      <c r="C87" s="30" t="str">
        <f t="shared" si="24"/>
        <v>3</v>
      </c>
      <c r="D87" s="30" t="str">
        <f t="shared" si="25"/>
        <v>32</v>
      </c>
      <c r="E87" s="26" t="str">
        <f t="shared" si="15"/>
        <v>323</v>
      </c>
      <c r="F87" s="26" t="s">
        <v>126</v>
      </c>
      <c r="G87" s="26" t="s">
        <v>188</v>
      </c>
      <c r="H87" s="26" t="s">
        <v>128</v>
      </c>
      <c r="I87" s="27">
        <v>2700</v>
      </c>
      <c r="J87" s="27">
        <f t="shared" si="21"/>
        <v>1781.3400000000001</v>
      </c>
      <c r="K87" s="27">
        <v>918.66</v>
      </c>
      <c r="L87" s="27">
        <v>0</v>
      </c>
      <c r="M87" s="27">
        <v>1781.34</v>
      </c>
      <c r="N87" s="27">
        <v>0</v>
      </c>
      <c r="O87" s="27">
        <v>918.66</v>
      </c>
      <c r="P87" s="28">
        <v>0.66</v>
      </c>
      <c r="Q87" s="27">
        <f t="shared" si="26"/>
        <v>1781.3400000000001</v>
      </c>
      <c r="R87" s="27"/>
      <c r="S87" s="27">
        <f t="shared" si="27"/>
        <v>1781.3400000000001</v>
      </c>
      <c r="T87" s="27">
        <f t="shared" si="22"/>
        <v>4915.34</v>
      </c>
      <c r="U87" s="27">
        <f t="shared" si="28"/>
        <v>4915.34</v>
      </c>
      <c r="V87" s="27">
        <f t="shared" si="29"/>
        <v>0</v>
      </c>
      <c r="W87" s="27"/>
      <c r="X87" s="27">
        <f t="shared" si="30"/>
        <v>4915.34</v>
      </c>
      <c r="Y87" s="27">
        <f t="shared" si="31"/>
        <v>0</v>
      </c>
      <c r="Z87" s="27"/>
      <c r="AA87" s="27">
        <v>97.5</v>
      </c>
      <c r="AB87" s="27">
        <v>3669.01</v>
      </c>
      <c r="AC87" s="27">
        <v>1148.83</v>
      </c>
      <c r="AF87" s="27">
        <v>4915.34</v>
      </c>
    </row>
    <row r="88" spans="1:32" ht="20.100000000000001" customHeight="1" outlineLevel="1" x14ac:dyDescent="0.2">
      <c r="A88" s="26" t="s">
        <v>327</v>
      </c>
      <c r="B88" s="30">
        <v>521</v>
      </c>
      <c r="C88" s="30" t="str">
        <f t="shared" si="24"/>
        <v>3</v>
      </c>
      <c r="D88" s="30" t="str">
        <f t="shared" si="25"/>
        <v>32</v>
      </c>
      <c r="E88" s="26" t="str">
        <f t="shared" si="15"/>
        <v>329</v>
      </c>
      <c r="F88" s="26" t="s">
        <v>110</v>
      </c>
      <c r="G88" s="26" t="s">
        <v>189</v>
      </c>
      <c r="H88" s="26" t="s">
        <v>112</v>
      </c>
      <c r="I88" s="27">
        <v>1600</v>
      </c>
      <c r="J88" s="27">
        <f t="shared" si="21"/>
        <v>1668.05</v>
      </c>
      <c r="K88" s="27">
        <v>-68.05</v>
      </c>
      <c r="L88" s="27">
        <v>0</v>
      </c>
      <c r="M88" s="27">
        <v>1668.05</v>
      </c>
      <c r="N88" s="27">
        <v>0</v>
      </c>
      <c r="O88" s="27">
        <v>-68.05</v>
      </c>
      <c r="P88" s="28">
        <v>1.0429999999999999</v>
      </c>
      <c r="Q88" s="27">
        <f t="shared" si="26"/>
        <v>1668.05</v>
      </c>
      <c r="R88" s="27"/>
      <c r="S88" s="27">
        <f t="shared" si="27"/>
        <v>1668.05</v>
      </c>
      <c r="T88" s="27">
        <f t="shared" si="22"/>
        <v>1668.05</v>
      </c>
      <c r="U88" s="27">
        <f t="shared" si="28"/>
        <v>1668.05</v>
      </c>
      <c r="V88" s="27">
        <f t="shared" si="29"/>
        <v>0</v>
      </c>
      <c r="W88" s="27"/>
      <c r="X88" s="27">
        <f t="shared" si="30"/>
        <v>1668.05</v>
      </c>
      <c r="Y88" s="27">
        <f t="shared" si="31"/>
        <v>0</v>
      </c>
      <c r="Z88" s="27"/>
      <c r="AA88" s="27"/>
      <c r="AB88" s="27">
        <v>1668.05</v>
      </c>
      <c r="AC88" s="27"/>
      <c r="AF88" s="27">
        <v>1668.05</v>
      </c>
    </row>
    <row r="89" spans="1:32" ht="20.100000000000001" customHeight="1" outlineLevel="1" x14ac:dyDescent="0.2">
      <c r="A89" s="26" t="s">
        <v>327</v>
      </c>
      <c r="B89" s="30">
        <v>521</v>
      </c>
      <c r="C89" s="30" t="str">
        <f t="shared" si="24"/>
        <v>3</v>
      </c>
      <c r="D89" s="30" t="str">
        <f t="shared" si="25"/>
        <v>32</v>
      </c>
      <c r="E89" s="26" t="str">
        <f t="shared" si="15"/>
        <v>329</v>
      </c>
      <c r="F89" s="26" t="s">
        <v>154</v>
      </c>
      <c r="G89" s="26" t="s">
        <v>190</v>
      </c>
      <c r="H89" s="26" t="s">
        <v>156</v>
      </c>
      <c r="I89" s="27">
        <v>800</v>
      </c>
      <c r="J89" s="27">
        <f t="shared" si="21"/>
        <v>562.46</v>
      </c>
      <c r="K89" s="27">
        <v>237.54</v>
      </c>
      <c r="L89" s="27">
        <v>0</v>
      </c>
      <c r="M89" s="27">
        <v>562.46</v>
      </c>
      <c r="N89" s="27">
        <v>0</v>
      </c>
      <c r="O89" s="27">
        <v>237.54</v>
      </c>
      <c r="P89" s="28">
        <v>0.70299999999999996</v>
      </c>
      <c r="Q89" s="27">
        <f t="shared" si="26"/>
        <v>562.46</v>
      </c>
      <c r="R89" s="27"/>
      <c r="S89" s="27">
        <f t="shared" si="27"/>
        <v>562.46</v>
      </c>
      <c r="T89" s="27">
        <f t="shared" si="22"/>
        <v>1319.6100000000001</v>
      </c>
      <c r="U89" s="27">
        <f t="shared" si="28"/>
        <v>1319.6100000000001</v>
      </c>
      <c r="V89" s="27">
        <f t="shared" si="29"/>
        <v>0</v>
      </c>
      <c r="W89" s="27"/>
      <c r="X89" s="27">
        <f t="shared" si="30"/>
        <v>1319.6100000000001</v>
      </c>
      <c r="Y89" s="27">
        <f t="shared" si="31"/>
        <v>0</v>
      </c>
      <c r="Z89" s="27"/>
      <c r="AA89" s="27">
        <v>1162.48</v>
      </c>
      <c r="AB89" s="27">
        <v>157.13</v>
      </c>
      <c r="AC89" s="27"/>
      <c r="AF89" s="27">
        <v>1319.6100000000001</v>
      </c>
    </row>
    <row r="90" spans="1:32" ht="20.100000000000001" customHeight="1" outlineLevel="1" x14ac:dyDescent="0.2">
      <c r="A90" s="26" t="s">
        <v>327</v>
      </c>
      <c r="B90" s="30">
        <v>521</v>
      </c>
      <c r="C90" s="30" t="str">
        <f t="shared" si="24"/>
        <v>3</v>
      </c>
      <c r="D90" s="30" t="str">
        <f t="shared" si="25"/>
        <v>32</v>
      </c>
      <c r="E90" s="26" t="str">
        <f t="shared" si="15"/>
        <v>329</v>
      </c>
      <c r="F90" s="26" t="s">
        <v>113</v>
      </c>
      <c r="G90" s="26" t="s">
        <v>191</v>
      </c>
      <c r="H90" s="26" t="s">
        <v>115</v>
      </c>
      <c r="I90" s="27">
        <v>0</v>
      </c>
      <c r="J90" s="27">
        <f t="shared" si="21"/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8">
        <v>0</v>
      </c>
      <c r="Q90" s="27">
        <f t="shared" si="26"/>
        <v>0</v>
      </c>
      <c r="R90" s="27"/>
      <c r="S90" s="27">
        <f t="shared" si="27"/>
        <v>0</v>
      </c>
      <c r="T90" s="27">
        <f t="shared" si="22"/>
        <v>0</v>
      </c>
      <c r="U90" s="27">
        <f t="shared" si="28"/>
        <v>0</v>
      </c>
      <c r="V90" s="27">
        <f t="shared" si="29"/>
        <v>0</v>
      </c>
      <c r="W90" s="27"/>
      <c r="X90" s="27">
        <f t="shared" si="30"/>
        <v>0</v>
      </c>
      <c r="Y90" s="27">
        <f t="shared" si="31"/>
        <v>0</v>
      </c>
      <c r="Z90" s="27"/>
      <c r="AA90" s="27"/>
      <c r="AB90" s="27"/>
      <c r="AC90" s="27"/>
      <c r="AF90" s="27">
        <v>0</v>
      </c>
    </row>
    <row r="91" spans="1:32" ht="20.100000000000001" customHeight="1" outlineLevel="1" x14ac:dyDescent="0.2">
      <c r="A91" s="26" t="s">
        <v>327</v>
      </c>
      <c r="B91" s="30">
        <v>521</v>
      </c>
      <c r="C91" s="30" t="str">
        <f t="shared" si="24"/>
        <v>3</v>
      </c>
      <c r="D91" s="30" t="str">
        <f t="shared" si="25"/>
        <v>32</v>
      </c>
      <c r="E91" s="26" t="str">
        <f t="shared" si="15"/>
        <v>329</v>
      </c>
      <c r="F91" s="26" t="s">
        <v>116</v>
      </c>
      <c r="G91" s="26" t="s">
        <v>192</v>
      </c>
      <c r="H91" s="26" t="s">
        <v>118</v>
      </c>
      <c r="I91" s="27">
        <v>600</v>
      </c>
      <c r="J91" s="27">
        <f t="shared" si="21"/>
        <v>127.38</v>
      </c>
      <c r="K91" s="27">
        <v>472.62</v>
      </c>
      <c r="L91" s="27">
        <v>0</v>
      </c>
      <c r="M91" s="27">
        <v>127.38</v>
      </c>
      <c r="N91" s="27">
        <v>0</v>
      </c>
      <c r="O91" s="27">
        <v>472.62</v>
      </c>
      <c r="P91" s="28">
        <v>0.21199999999999999</v>
      </c>
      <c r="Q91" s="27">
        <f t="shared" si="26"/>
        <v>127.38</v>
      </c>
      <c r="R91" s="27"/>
      <c r="S91" s="27">
        <f t="shared" si="27"/>
        <v>127.38</v>
      </c>
      <c r="T91" s="27">
        <f t="shared" si="22"/>
        <v>307.83999999999997</v>
      </c>
      <c r="U91" s="27">
        <f t="shared" si="28"/>
        <v>307.83999999999997</v>
      </c>
      <c r="V91" s="27">
        <f t="shared" si="29"/>
        <v>0</v>
      </c>
      <c r="W91" s="27"/>
      <c r="X91" s="27">
        <f t="shared" si="30"/>
        <v>307.83999999999997</v>
      </c>
      <c r="Y91" s="27">
        <f t="shared" si="31"/>
        <v>0</v>
      </c>
      <c r="Z91" s="27"/>
      <c r="AA91" s="27"/>
      <c r="AB91" s="27">
        <v>307.83999999999997</v>
      </c>
      <c r="AC91" s="27"/>
      <c r="AF91" s="27">
        <v>307.83999999999997</v>
      </c>
    </row>
    <row r="92" spans="1:32" ht="20.100000000000001" customHeight="1" outlineLevel="1" x14ac:dyDescent="0.2">
      <c r="A92" s="26" t="s">
        <v>327</v>
      </c>
      <c r="B92" s="30">
        <v>521</v>
      </c>
      <c r="C92" s="30" t="str">
        <f t="shared" si="24"/>
        <v>3</v>
      </c>
      <c r="D92" s="30" t="str">
        <f t="shared" si="25"/>
        <v>32</v>
      </c>
      <c r="E92" s="26" t="str">
        <f t="shared" si="15"/>
        <v>329</v>
      </c>
      <c r="F92" s="26" t="s">
        <v>159</v>
      </c>
      <c r="G92" s="26" t="s">
        <v>193</v>
      </c>
      <c r="H92" s="26" t="s">
        <v>161</v>
      </c>
      <c r="I92" s="27">
        <v>2000</v>
      </c>
      <c r="J92" s="27">
        <f t="shared" si="21"/>
        <v>40.5</v>
      </c>
      <c r="K92" s="27">
        <v>1959.5</v>
      </c>
      <c r="L92" s="27">
        <v>0</v>
      </c>
      <c r="M92" s="27">
        <v>40.5</v>
      </c>
      <c r="N92" s="27">
        <v>0</v>
      </c>
      <c r="O92" s="27">
        <v>1959.5</v>
      </c>
      <c r="P92" s="28">
        <v>0.02</v>
      </c>
      <c r="Q92" s="27">
        <f t="shared" si="26"/>
        <v>40.5</v>
      </c>
      <c r="R92" s="27"/>
      <c r="S92" s="27">
        <f t="shared" si="27"/>
        <v>40.5</v>
      </c>
      <c r="T92" s="27">
        <f t="shared" si="22"/>
        <v>45</v>
      </c>
      <c r="U92" s="27">
        <f t="shared" si="28"/>
        <v>45</v>
      </c>
      <c r="V92" s="27">
        <f t="shared" si="29"/>
        <v>0</v>
      </c>
      <c r="W92" s="27"/>
      <c r="X92" s="27">
        <f t="shared" si="30"/>
        <v>45</v>
      </c>
      <c r="Y92" s="27">
        <f t="shared" si="31"/>
        <v>0</v>
      </c>
      <c r="Z92" s="27"/>
      <c r="AA92" s="27"/>
      <c r="AB92" s="27">
        <v>45</v>
      </c>
      <c r="AC92" s="27"/>
      <c r="AF92" s="27">
        <v>45</v>
      </c>
    </row>
    <row r="93" spans="1:32" ht="20.100000000000001" customHeight="1" outlineLevel="1" x14ac:dyDescent="0.2">
      <c r="A93" s="26" t="s">
        <v>327</v>
      </c>
      <c r="B93" s="30">
        <v>521</v>
      </c>
      <c r="C93" s="30" t="str">
        <f t="shared" si="24"/>
        <v>3</v>
      </c>
      <c r="D93" s="30" t="str">
        <f t="shared" si="25"/>
        <v>34</v>
      </c>
      <c r="E93" s="26" t="str">
        <f t="shared" si="15"/>
        <v>343</v>
      </c>
      <c r="F93" s="26" t="s">
        <v>119</v>
      </c>
      <c r="G93" s="26" t="s">
        <v>194</v>
      </c>
      <c r="H93" s="26" t="s">
        <v>121</v>
      </c>
      <c r="I93" s="27">
        <v>2700</v>
      </c>
      <c r="J93" s="27">
        <f t="shared" si="21"/>
        <v>0</v>
      </c>
      <c r="K93" s="27">
        <v>2700</v>
      </c>
      <c r="L93" s="27">
        <v>0</v>
      </c>
      <c r="M93" s="27">
        <v>0</v>
      </c>
      <c r="N93" s="27">
        <v>0</v>
      </c>
      <c r="O93" s="27">
        <v>2700</v>
      </c>
      <c r="P93" s="28">
        <v>0</v>
      </c>
      <c r="Q93" s="27">
        <f t="shared" si="26"/>
        <v>0</v>
      </c>
      <c r="R93" s="27"/>
      <c r="S93" s="27">
        <f t="shared" si="27"/>
        <v>0</v>
      </c>
      <c r="T93" s="27">
        <f t="shared" si="22"/>
        <v>0</v>
      </c>
      <c r="U93" s="27">
        <f t="shared" si="28"/>
        <v>0</v>
      </c>
      <c r="V93" s="27">
        <f t="shared" si="29"/>
        <v>0</v>
      </c>
      <c r="W93" s="27"/>
      <c r="X93" s="27">
        <f t="shared" si="30"/>
        <v>0</v>
      </c>
      <c r="Y93" s="27">
        <f t="shared" si="31"/>
        <v>0</v>
      </c>
      <c r="Z93" s="27"/>
      <c r="AA93" s="27"/>
      <c r="AB93" s="27"/>
      <c r="AC93" s="27"/>
      <c r="AF93" s="27">
        <v>0</v>
      </c>
    </row>
    <row r="94" spans="1:32" ht="20.100000000000001" customHeight="1" outlineLevel="1" x14ac:dyDescent="0.2">
      <c r="A94" s="26" t="s">
        <v>327</v>
      </c>
      <c r="B94" s="30">
        <v>521</v>
      </c>
      <c r="C94" s="30" t="str">
        <f t="shared" si="24"/>
        <v>3</v>
      </c>
      <c r="D94" s="30" t="str">
        <f t="shared" si="25"/>
        <v>34</v>
      </c>
      <c r="E94" s="26" t="str">
        <f t="shared" si="15"/>
        <v>343</v>
      </c>
      <c r="F94" s="26" t="s">
        <v>163</v>
      </c>
      <c r="G94" s="26" t="s">
        <v>195</v>
      </c>
      <c r="H94" s="26" t="s">
        <v>165</v>
      </c>
      <c r="I94" s="27">
        <v>200</v>
      </c>
      <c r="J94" s="27">
        <f t="shared" si="21"/>
        <v>0</v>
      </c>
      <c r="K94" s="27">
        <v>200</v>
      </c>
      <c r="L94" s="27">
        <v>0</v>
      </c>
      <c r="M94" s="27">
        <v>0</v>
      </c>
      <c r="N94" s="27">
        <v>0</v>
      </c>
      <c r="O94" s="27">
        <v>200</v>
      </c>
      <c r="P94" s="28">
        <v>0</v>
      </c>
      <c r="Q94" s="27">
        <f t="shared" si="26"/>
        <v>0</v>
      </c>
      <c r="R94" s="27"/>
      <c r="S94" s="27">
        <f t="shared" si="27"/>
        <v>0</v>
      </c>
      <c r="T94" s="27">
        <f t="shared" si="22"/>
        <v>22.55</v>
      </c>
      <c r="U94" s="27">
        <f t="shared" si="28"/>
        <v>22.55</v>
      </c>
      <c r="V94" s="27">
        <f t="shared" si="29"/>
        <v>0</v>
      </c>
      <c r="W94" s="27"/>
      <c r="X94" s="27">
        <f t="shared" si="30"/>
        <v>22.55</v>
      </c>
      <c r="Y94" s="27">
        <f t="shared" si="31"/>
        <v>0</v>
      </c>
      <c r="Z94" s="27"/>
      <c r="AA94" s="27"/>
      <c r="AB94" s="27">
        <v>22.55</v>
      </c>
      <c r="AC94" s="27"/>
      <c r="AF94" s="27">
        <v>22.55</v>
      </c>
    </row>
    <row r="95" spans="1:32" ht="20.100000000000001" customHeight="1" x14ac:dyDescent="0.2">
      <c r="F95" s="216" t="s">
        <v>34</v>
      </c>
      <c r="G95" s="216"/>
      <c r="H95" s="216"/>
      <c r="I95" s="52">
        <f>SUMIFS(I96:I264,$A96:$A264,"A212401",$B96:$B264,"541")</f>
        <v>1000</v>
      </c>
      <c r="J95" s="52">
        <f t="shared" ref="J95:V95" si="32">SUMIFS(J96:J264,$A96:$A264,"A212401",$B96:$B264,"541")</f>
        <v>268.10000000000002</v>
      </c>
      <c r="K95" s="52">
        <f t="shared" si="32"/>
        <v>731.9</v>
      </c>
      <c r="L95" s="52">
        <f t="shared" si="32"/>
        <v>0</v>
      </c>
      <c r="M95" s="52">
        <f t="shared" si="32"/>
        <v>268.10000000000002</v>
      </c>
      <c r="N95" s="52">
        <f t="shared" si="32"/>
        <v>0</v>
      </c>
      <c r="O95" s="52">
        <f t="shared" si="32"/>
        <v>731.9</v>
      </c>
      <c r="P95" s="53">
        <v>0.26800000000000002</v>
      </c>
      <c r="Q95" s="52">
        <f t="shared" si="32"/>
        <v>268.10000000000002</v>
      </c>
      <c r="R95" s="52">
        <f t="shared" si="32"/>
        <v>0</v>
      </c>
      <c r="S95" s="52">
        <f t="shared" si="32"/>
        <v>268.10000000000002</v>
      </c>
      <c r="T95" s="52">
        <f>SUMIFS(T96:T264,$A96:$A264,"A212401",$B96:$B264,"541")</f>
        <v>308.09000000000003</v>
      </c>
      <c r="U95" s="52">
        <f t="shared" si="32"/>
        <v>308.09000000000003</v>
      </c>
      <c r="V95" s="52">
        <f t="shared" si="32"/>
        <v>0</v>
      </c>
      <c r="W95" s="52">
        <f>SUMIFS(W96:W264,$A96:$A264,"A212401",$B96:$B264,"541")</f>
        <v>0</v>
      </c>
      <c r="X95" s="52">
        <f>SUMIFS(X96:X264,$A96:$A264,"A212401",$B96:$B264,"541")</f>
        <v>308.09000000000003</v>
      </c>
      <c r="Y95" s="52">
        <f>SUMIFS(Y96:Y264,$A96:$A264,"A212401",$B96:$B264,"541")</f>
        <v>0</v>
      </c>
      <c r="Z95" s="52"/>
      <c r="AA95" s="52"/>
      <c r="AB95" s="52"/>
      <c r="AC95" s="52"/>
      <c r="AF95" s="52">
        <v>308.09000000000003</v>
      </c>
    </row>
    <row r="96" spans="1:32" ht="20.100000000000001" customHeight="1" outlineLevel="1" x14ac:dyDescent="0.2">
      <c r="A96" s="26" t="s">
        <v>327</v>
      </c>
      <c r="B96" s="30">
        <v>541</v>
      </c>
      <c r="C96" s="30" t="str">
        <f>LEFT(F96,1)</f>
        <v>3</v>
      </c>
      <c r="D96" s="30" t="str">
        <f>LEFT(F96,2)</f>
        <v>32</v>
      </c>
      <c r="E96" s="26" t="str">
        <f t="shared" si="15"/>
        <v>322</v>
      </c>
      <c r="F96" s="26" t="s">
        <v>72</v>
      </c>
      <c r="G96" s="26" t="s">
        <v>196</v>
      </c>
      <c r="H96" s="26" t="s">
        <v>74</v>
      </c>
      <c r="I96" s="27">
        <v>0</v>
      </c>
      <c r="J96" s="27">
        <f t="shared" si="21"/>
        <v>0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8">
        <v>0</v>
      </c>
      <c r="Q96" s="27">
        <f>J96</f>
        <v>0</v>
      </c>
      <c r="R96" s="27"/>
      <c r="S96" s="27">
        <f>R96+Q96</f>
        <v>0</v>
      </c>
      <c r="T96" s="27">
        <f t="shared" si="22"/>
        <v>0</v>
      </c>
      <c r="U96" s="27"/>
      <c r="V96" s="27">
        <f t="shared" si="29"/>
        <v>0</v>
      </c>
      <c r="W96" s="27"/>
      <c r="X96" s="27">
        <f>W96+U96</f>
        <v>0</v>
      </c>
      <c r="Y96" s="27">
        <f>T96-X96</f>
        <v>0</v>
      </c>
      <c r="Z96" s="27"/>
      <c r="AF96" s="27">
        <v>0</v>
      </c>
    </row>
    <row r="97" spans="1:32" ht="20.100000000000001" customHeight="1" outlineLevel="1" x14ac:dyDescent="0.2">
      <c r="A97" s="26" t="s">
        <v>327</v>
      </c>
      <c r="B97" s="30">
        <v>541</v>
      </c>
      <c r="C97" s="30" t="str">
        <f>LEFT(F97,1)</f>
        <v>3</v>
      </c>
      <c r="D97" s="30" t="str">
        <f>LEFT(F97,2)</f>
        <v>32</v>
      </c>
      <c r="E97" s="26" t="str">
        <f t="shared" si="15"/>
        <v>322</v>
      </c>
      <c r="F97" s="26" t="s">
        <v>75</v>
      </c>
      <c r="G97" s="26" t="s">
        <v>197</v>
      </c>
      <c r="H97" s="26" t="s">
        <v>77</v>
      </c>
      <c r="I97" s="27">
        <v>100</v>
      </c>
      <c r="J97" s="27">
        <f t="shared" si="21"/>
        <v>0</v>
      </c>
      <c r="K97" s="27">
        <v>100</v>
      </c>
      <c r="L97" s="27">
        <v>0</v>
      </c>
      <c r="M97" s="27">
        <v>0</v>
      </c>
      <c r="N97" s="27">
        <v>0</v>
      </c>
      <c r="O97" s="27">
        <v>100</v>
      </c>
      <c r="P97" s="28">
        <v>0</v>
      </c>
      <c r="Q97" s="27">
        <f>J97</f>
        <v>0</v>
      </c>
      <c r="R97" s="27"/>
      <c r="S97" s="27">
        <f>R97+Q97</f>
        <v>0</v>
      </c>
      <c r="T97" s="27">
        <f t="shared" si="22"/>
        <v>39.99</v>
      </c>
      <c r="U97" s="27">
        <v>39.99</v>
      </c>
      <c r="V97" s="27">
        <f t="shared" si="29"/>
        <v>0</v>
      </c>
      <c r="W97" s="27"/>
      <c r="X97" s="27">
        <f>W97+U97</f>
        <v>39.99</v>
      </c>
      <c r="Y97" s="27">
        <f>T97-X97</f>
        <v>0</v>
      </c>
      <c r="Z97" s="27"/>
      <c r="AF97" s="27">
        <v>39.99</v>
      </c>
    </row>
    <row r="98" spans="1:32" ht="20.100000000000001" customHeight="1" outlineLevel="1" x14ac:dyDescent="0.2">
      <c r="A98" s="26" t="s">
        <v>327</v>
      </c>
      <c r="B98" s="30">
        <v>541</v>
      </c>
      <c r="C98" s="30" t="str">
        <f>LEFT(F98,1)</f>
        <v>3</v>
      </c>
      <c r="D98" s="30" t="str">
        <f>LEFT(F98,2)</f>
        <v>32</v>
      </c>
      <c r="E98" s="26" t="str">
        <f t="shared" si="15"/>
        <v>322</v>
      </c>
      <c r="F98" s="26" t="s">
        <v>84</v>
      </c>
      <c r="G98" s="26" t="s">
        <v>198</v>
      </c>
      <c r="H98" s="26" t="s">
        <v>86</v>
      </c>
      <c r="I98" s="27">
        <v>300</v>
      </c>
      <c r="J98" s="27">
        <f t="shared" si="21"/>
        <v>268.10000000000002</v>
      </c>
      <c r="K98" s="27">
        <v>31.9</v>
      </c>
      <c r="L98" s="27">
        <v>0</v>
      </c>
      <c r="M98" s="27">
        <v>268.10000000000002</v>
      </c>
      <c r="N98" s="27">
        <v>0</v>
      </c>
      <c r="O98" s="27">
        <v>31.9</v>
      </c>
      <c r="P98" s="28">
        <v>0.89400000000000002</v>
      </c>
      <c r="Q98" s="27">
        <f>J98</f>
        <v>268.10000000000002</v>
      </c>
      <c r="R98" s="27"/>
      <c r="S98" s="27">
        <f>R98+Q98</f>
        <v>268.10000000000002</v>
      </c>
      <c r="T98" s="27">
        <f t="shared" si="22"/>
        <v>268.10000000000002</v>
      </c>
      <c r="U98" s="27">
        <v>268.10000000000002</v>
      </c>
      <c r="V98" s="27">
        <f t="shared" si="29"/>
        <v>0</v>
      </c>
      <c r="W98" s="27"/>
      <c r="X98" s="27">
        <f>W98+U98</f>
        <v>268.10000000000002</v>
      </c>
      <c r="Y98" s="27">
        <f>T98-X98</f>
        <v>0</v>
      </c>
      <c r="Z98" s="27"/>
      <c r="AF98" s="27">
        <v>268.10000000000002</v>
      </c>
    </row>
    <row r="99" spans="1:32" ht="20.100000000000001" customHeight="1" outlineLevel="1" x14ac:dyDescent="0.2">
      <c r="A99" s="26" t="s">
        <v>327</v>
      </c>
      <c r="B99" s="30">
        <v>541</v>
      </c>
      <c r="C99" s="30" t="str">
        <f>LEFT(F99,1)</f>
        <v>3</v>
      </c>
      <c r="D99" s="30" t="str">
        <f>LEFT(F99,2)</f>
        <v>32</v>
      </c>
      <c r="E99" s="26" t="str">
        <f t="shared" si="15"/>
        <v>323</v>
      </c>
      <c r="F99" s="26" t="s">
        <v>97</v>
      </c>
      <c r="G99" s="26" t="s">
        <v>199</v>
      </c>
      <c r="H99" s="26" t="s">
        <v>99</v>
      </c>
      <c r="I99" s="27">
        <v>0</v>
      </c>
      <c r="J99" s="27">
        <f t="shared" si="21"/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8">
        <v>0</v>
      </c>
      <c r="Q99" s="27">
        <f>J99</f>
        <v>0</v>
      </c>
      <c r="R99" s="27"/>
      <c r="S99" s="27">
        <f>R99+Q99</f>
        <v>0</v>
      </c>
      <c r="T99" s="27">
        <f t="shared" si="22"/>
        <v>0</v>
      </c>
      <c r="U99" s="27"/>
      <c r="V99" s="27">
        <f t="shared" si="29"/>
        <v>0</v>
      </c>
      <c r="W99" s="27"/>
      <c r="X99" s="27">
        <f>W99+U99</f>
        <v>0</v>
      </c>
      <c r="Y99" s="27">
        <f>T99-X99</f>
        <v>0</v>
      </c>
      <c r="Z99" s="27"/>
      <c r="AF99" s="27">
        <v>0</v>
      </c>
    </row>
    <row r="100" spans="1:32" ht="20.100000000000001" customHeight="1" outlineLevel="1" x14ac:dyDescent="0.2">
      <c r="A100" s="26" t="s">
        <v>327</v>
      </c>
      <c r="B100" s="30">
        <v>541</v>
      </c>
      <c r="C100" s="30" t="str">
        <f>LEFT(F100,1)</f>
        <v>3</v>
      </c>
      <c r="D100" s="30" t="str">
        <f>LEFT(F100,2)</f>
        <v>32</v>
      </c>
      <c r="E100" s="26" t="str">
        <f t="shared" si="15"/>
        <v>329</v>
      </c>
      <c r="F100" s="26" t="s">
        <v>154</v>
      </c>
      <c r="G100" s="26" t="s">
        <v>200</v>
      </c>
      <c r="H100" s="26" t="s">
        <v>156</v>
      </c>
      <c r="I100" s="27">
        <v>600</v>
      </c>
      <c r="J100" s="27">
        <f t="shared" si="21"/>
        <v>0</v>
      </c>
      <c r="K100" s="27">
        <v>600</v>
      </c>
      <c r="L100" s="27">
        <v>0</v>
      </c>
      <c r="M100" s="27">
        <v>0</v>
      </c>
      <c r="N100" s="27">
        <v>0</v>
      </c>
      <c r="O100" s="27">
        <v>600</v>
      </c>
      <c r="P100" s="28">
        <v>0</v>
      </c>
      <c r="Q100" s="27">
        <f>J100</f>
        <v>0</v>
      </c>
      <c r="R100" s="27"/>
      <c r="S100" s="27">
        <f>R100+Q100</f>
        <v>0</v>
      </c>
      <c r="T100" s="27">
        <f t="shared" si="22"/>
        <v>0</v>
      </c>
      <c r="U100" s="27"/>
      <c r="V100" s="27">
        <f t="shared" si="29"/>
        <v>0</v>
      </c>
      <c r="W100" s="27"/>
      <c r="X100" s="27">
        <f>W100+U100</f>
        <v>0</v>
      </c>
      <c r="Y100" s="27">
        <f>T100-X100</f>
        <v>0</v>
      </c>
      <c r="Z100" s="27"/>
      <c r="AF100" s="27">
        <v>0</v>
      </c>
    </row>
    <row r="101" spans="1:32" ht="20.100000000000001" customHeight="1" x14ac:dyDescent="0.2">
      <c r="F101" s="216" t="s">
        <v>201</v>
      </c>
      <c r="G101" s="216"/>
      <c r="H101" s="216"/>
      <c r="I101" s="52">
        <f>SUMIFS(I102:I270,$A102:$A270,"A212401",$B102:$B270,"561")</f>
        <v>28000</v>
      </c>
      <c r="J101" s="52">
        <f t="shared" ref="J101:V101" si="33">SUMIFS(J102:J270,$A102:$A270,"A212401",$B102:$B270,"561")</f>
        <v>20388.099999999999</v>
      </c>
      <c r="K101" s="52">
        <f t="shared" si="33"/>
        <v>7611.9000000000005</v>
      </c>
      <c r="L101" s="52">
        <f t="shared" si="33"/>
        <v>0</v>
      </c>
      <c r="M101" s="52">
        <f t="shared" si="33"/>
        <v>20388.099999999999</v>
      </c>
      <c r="N101" s="52">
        <f t="shared" si="33"/>
        <v>0</v>
      </c>
      <c r="O101" s="52">
        <f t="shared" si="33"/>
        <v>7611.9000000000005</v>
      </c>
      <c r="P101" s="53">
        <v>0.72799999999999998</v>
      </c>
      <c r="Q101" s="52">
        <f t="shared" si="33"/>
        <v>20388.099999999999</v>
      </c>
      <c r="R101" s="52">
        <f t="shared" si="33"/>
        <v>0</v>
      </c>
      <c r="S101" s="52">
        <f t="shared" si="33"/>
        <v>20388.099999999999</v>
      </c>
      <c r="T101" s="52">
        <f>SUMIFS(T102:T270,$A102:$A270,"A212401",$B102:$B270,"561")</f>
        <v>27200.49</v>
      </c>
      <c r="U101" s="52">
        <f t="shared" si="33"/>
        <v>27200.49</v>
      </c>
      <c r="V101" s="52">
        <f t="shared" si="33"/>
        <v>0</v>
      </c>
      <c r="W101" s="52">
        <f>SUMIFS(W102:W270,$A102:$A270,"A212401",$B102:$B270,"561")</f>
        <v>-870.32</v>
      </c>
      <c r="X101" s="52">
        <f>SUMIFS(X102:X270,$A102:$A270,"A212401",$B102:$B270,"561")</f>
        <v>26330.170000000002</v>
      </c>
      <c r="Y101" s="52">
        <f>SUMIFS(Y102:Y270,$A102:$A270,"A212401",$B102:$B270,"561")</f>
        <v>870.32000000000016</v>
      </c>
      <c r="Z101" s="52"/>
      <c r="AF101" s="52">
        <v>27200.49</v>
      </c>
    </row>
    <row r="102" spans="1:32" ht="20.100000000000001" customHeight="1" outlineLevel="1" x14ac:dyDescent="0.2">
      <c r="A102" s="26" t="s">
        <v>327</v>
      </c>
      <c r="B102" s="30">
        <v>561</v>
      </c>
      <c r="C102" s="30" t="str">
        <f t="shared" ref="C102:C108" si="34">LEFT(F102,1)</f>
        <v>3</v>
      </c>
      <c r="D102" s="30" t="str">
        <f t="shared" ref="D102:D108" si="35">LEFT(F102,2)</f>
        <v>32</v>
      </c>
      <c r="E102" s="26" t="str">
        <f t="shared" si="15"/>
        <v>321</v>
      </c>
      <c r="F102" s="26" t="s">
        <v>130</v>
      </c>
      <c r="G102" s="26" t="s">
        <v>202</v>
      </c>
      <c r="H102" s="26" t="s">
        <v>132</v>
      </c>
      <c r="I102" s="27">
        <v>18000</v>
      </c>
      <c r="J102" s="27">
        <f t="shared" si="21"/>
        <v>18042.53</v>
      </c>
      <c r="K102" s="27">
        <v>-42.53</v>
      </c>
      <c r="L102" s="27">
        <v>0</v>
      </c>
      <c r="M102" s="27">
        <v>18042.53</v>
      </c>
      <c r="N102" s="27">
        <v>0</v>
      </c>
      <c r="O102" s="27">
        <v>-42.53</v>
      </c>
      <c r="P102" s="28">
        <v>1.002</v>
      </c>
      <c r="Q102" s="27">
        <f t="shared" ref="Q102:Q108" si="36">J102</f>
        <v>18042.53</v>
      </c>
      <c r="R102" s="27"/>
      <c r="S102" s="27">
        <f t="shared" ref="S102:S108" si="37">R102+Q102</f>
        <v>18042.53</v>
      </c>
      <c r="T102" s="27">
        <f t="shared" si="22"/>
        <v>21669.13</v>
      </c>
      <c r="U102" s="27">
        <f>21349.13+320</f>
        <v>21669.13</v>
      </c>
      <c r="V102" s="27">
        <f t="shared" si="29"/>
        <v>0</v>
      </c>
      <c r="W102" s="27"/>
      <c r="X102" s="27">
        <f t="shared" ref="X102:X108" si="38">W102+U102</f>
        <v>21669.13</v>
      </c>
      <c r="Y102" s="27">
        <f t="shared" ref="Y102:Y108" si="39">T102-X102</f>
        <v>0</v>
      </c>
      <c r="Z102" s="27"/>
      <c r="AF102" s="27">
        <v>21669.13</v>
      </c>
    </row>
    <row r="103" spans="1:32" ht="20.100000000000001" customHeight="1" outlineLevel="1" x14ac:dyDescent="0.2">
      <c r="A103" s="26" t="s">
        <v>327</v>
      </c>
      <c r="B103" s="30">
        <v>561</v>
      </c>
      <c r="C103" s="30" t="str">
        <f t="shared" si="34"/>
        <v>3</v>
      </c>
      <c r="D103" s="30" t="str">
        <f t="shared" si="35"/>
        <v>32</v>
      </c>
      <c r="E103" s="26" t="str">
        <f t="shared" si="15"/>
        <v>321</v>
      </c>
      <c r="F103" s="26" t="s">
        <v>69</v>
      </c>
      <c r="G103" s="26" t="s">
        <v>203</v>
      </c>
      <c r="H103" s="26" t="s">
        <v>71</v>
      </c>
      <c r="I103" s="27">
        <v>4000</v>
      </c>
      <c r="J103" s="27">
        <f t="shared" si="21"/>
        <v>2150</v>
      </c>
      <c r="K103" s="27">
        <v>1850</v>
      </c>
      <c r="L103" s="27">
        <v>0</v>
      </c>
      <c r="M103" s="27">
        <v>2150</v>
      </c>
      <c r="N103" s="27">
        <v>0</v>
      </c>
      <c r="O103" s="27">
        <v>1850</v>
      </c>
      <c r="P103" s="28">
        <v>0.53800000000000003</v>
      </c>
      <c r="Q103" s="27">
        <f t="shared" si="36"/>
        <v>2150</v>
      </c>
      <c r="R103" s="27"/>
      <c r="S103" s="27">
        <f t="shared" si="37"/>
        <v>2150</v>
      </c>
      <c r="T103" s="27">
        <f t="shared" si="22"/>
        <v>2150</v>
      </c>
      <c r="U103" s="27">
        <v>2150</v>
      </c>
      <c r="V103" s="27">
        <f t="shared" si="29"/>
        <v>0</v>
      </c>
      <c r="W103" s="27">
        <v>-870.32</v>
      </c>
      <c r="X103" s="27">
        <f t="shared" si="38"/>
        <v>1279.6799999999998</v>
      </c>
      <c r="Y103" s="27">
        <f t="shared" si="39"/>
        <v>870.32000000000016</v>
      </c>
      <c r="Z103" s="27"/>
      <c r="AF103" s="27">
        <v>2150</v>
      </c>
    </row>
    <row r="104" spans="1:32" ht="20.100000000000001" customHeight="1" outlineLevel="1" x14ac:dyDescent="0.2">
      <c r="A104" s="26" t="s">
        <v>327</v>
      </c>
      <c r="B104" s="30">
        <v>561</v>
      </c>
      <c r="C104" s="30" t="str">
        <f t="shared" si="34"/>
        <v>3</v>
      </c>
      <c r="D104" s="30" t="str">
        <f t="shared" si="35"/>
        <v>32</v>
      </c>
      <c r="E104" s="26" t="str">
        <f>LEFT(F104,3)</f>
        <v>323</v>
      </c>
      <c r="F104" s="26" t="s">
        <v>38</v>
      </c>
      <c r="G104" s="26" t="s">
        <v>204</v>
      </c>
      <c r="H104" s="26" t="s">
        <v>40</v>
      </c>
      <c r="I104" s="27">
        <v>0</v>
      </c>
      <c r="J104" s="27">
        <f t="shared" si="21"/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8">
        <v>0</v>
      </c>
      <c r="Q104" s="27">
        <f t="shared" si="36"/>
        <v>0</v>
      </c>
      <c r="R104" s="27"/>
      <c r="S104" s="27">
        <f t="shared" si="37"/>
        <v>0</v>
      </c>
      <c r="T104" s="27">
        <f t="shared" si="22"/>
        <v>0</v>
      </c>
      <c r="U104" s="27"/>
      <c r="V104" s="27">
        <f t="shared" si="29"/>
        <v>0</v>
      </c>
      <c r="W104" s="27"/>
      <c r="X104" s="27">
        <f t="shared" si="38"/>
        <v>0</v>
      </c>
      <c r="Y104" s="27">
        <f t="shared" si="39"/>
        <v>0</v>
      </c>
      <c r="Z104" s="27"/>
      <c r="AF104" s="27">
        <v>0</v>
      </c>
    </row>
    <row r="105" spans="1:32" ht="20.100000000000001" customHeight="1" outlineLevel="1" x14ac:dyDescent="0.2">
      <c r="A105" s="26" t="s">
        <v>327</v>
      </c>
      <c r="B105" s="30">
        <v>561</v>
      </c>
      <c r="C105" s="30" t="str">
        <f t="shared" si="34"/>
        <v>3</v>
      </c>
      <c r="D105" s="30" t="str">
        <f t="shared" si="35"/>
        <v>32</v>
      </c>
      <c r="E105" s="26" t="str">
        <f>LEFT(F105,3)</f>
        <v>323</v>
      </c>
      <c r="F105" s="26" t="s">
        <v>91</v>
      </c>
      <c r="G105" s="26" t="s">
        <v>205</v>
      </c>
      <c r="H105" s="26" t="s">
        <v>93</v>
      </c>
      <c r="I105" s="27">
        <v>4000</v>
      </c>
      <c r="J105" s="27">
        <f t="shared" ref="J105:J110" si="40">I105-K105</f>
        <v>0</v>
      </c>
      <c r="K105" s="27">
        <v>4000</v>
      </c>
      <c r="L105" s="27">
        <v>0</v>
      </c>
      <c r="M105" s="27">
        <v>0</v>
      </c>
      <c r="N105" s="27">
        <v>0</v>
      </c>
      <c r="O105" s="27">
        <v>4000</v>
      </c>
      <c r="P105" s="28">
        <v>0</v>
      </c>
      <c r="Q105" s="27">
        <f t="shared" si="36"/>
        <v>0</v>
      </c>
      <c r="R105" s="27"/>
      <c r="S105" s="27">
        <f t="shared" si="37"/>
        <v>0</v>
      </c>
      <c r="T105" s="27">
        <f t="shared" ref="T105:T110" si="41">U105</f>
        <v>2327</v>
      </c>
      <c r="U105" s="27">
        <v>2327</v>
      </c>
      <c r="V105" s="27">
        <f t="shared" si="29"/>
        <v>0</v>
      </c>
      <c r="W105" s="27"/>
      <c r="X105" s="27">
        <f t="shared" si="38"/>
        <v>2327</v>
      </c>
      <c r="Y105" s="27">
        <f t="shared" si="39"/>
        <v>0</v>
      </c>
      <c r="Z105" s="27"/>
      <c r="AF105" s="27">
        <v>2327</v>
      </c>
    </row>
    <row r="106" spans="1:32" ht="20.100000000000001" customHeight="1" outlineLevel="1" x14ac:dyDescent="0.2">
      <c r="A106" s="26" t="s">
        <v>327</v>
      </c>
      <c r="B106" s="30">
        <v>561</v>
      </c>
      <c r="C106" s="30" t="str">
        <f t="shared" si="34"/>
        <v>3</v>
      </c>
      <c r="D106" s="30" t="str">
        <f t="shared" si="35"/>
        <v>32</v>
      </c>
      <c r="E106" s="26" t="str">
        <f>LEFT(F106,3)</f>
        <v>323</v>
      </c>
      <c r="F106" s="65">
        <v>3239</v>
      </c>
      <c r="G106" s="64" t="s">
        <v>206</v>
      </c>
      <c r="H106" s="26" t="s">
        <v>128</v>
      </c>
      <c r="I106" s="27">
        <v>0</v>
      </c>
      <c r="J106" s="27">
        <f t="shared" si="40"/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8">
        <v>0</v>
      </c>
      <c r="Q106" s="27">
        <f t="shared" si="36"/>
        <v>0</v>
      </c>
      <c r="R106" s="27"/>
      <c r="S106" s="27">
        <f t="shared" si="37"/>
        <v>0</v>
      </c>
      <c r="T106" s="27">
        <f t="shared" si="41"/>
        <v>786.71</v>
      </c>
      <c r="U106" s="27">
        <v>786.71</v>
      </c>
      <c r="V106" s="27">
        <f t="shared" si="29"/>
        <v>0</v>
      </c>
      <c r="W106" s="27"/>
      <c r="X106" s="27">
        <f t="shared" si="38"/>
        <v>786.71</v>
      </c>
      <c r="Y106" s="27">
        <f t="shared" si="39"/>
        <v>0</v>
      </c>
      <c r="Z106" s="27"/>
      <c r="AF106" s="27">
        <v>786.71</v>
      </c>
    </row>
    <row r="107" spans="1:32" ht="20.100000000000001" customHeight="1" outlineLevel="1" x14ac:dyDescent="0.2">
      <c r="A107" s="26" t="s">
        <v>327</v>
      </c>
      <c r="B107" s="30">
        <v>561</v>
      </c>
      <c r="C107" s="30" t="str">
        <f>LEFT(F107,1)</f>
        <v>3</v>
      </c>
      <c r="D107" s="30" t="str">
        <f>LEFT(F107,2)</f>
        <v>32</v>
      </c>
      <c r="E107" s="26" t="str">
        <f>LEFT(F107,3)</f>
        <v>323</v>
      </c>
      <c r="F107" s="26" t="s">
        <v>41</v>
      </c>
      <c r="G107" s="26" t="s">
        <v>206</v>
      </c>
      <c r="H107" s="26" t="s">
        <v>43</v>
      </c>
      <c r="I107" s="27">
        <v>0</v>
      </c>
      <c r="J107" s="27">
        <f t="shared" si="40"/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8">
        <v>0</v>
      </c>
      <c r="Q107" s="27">
        <f>J107</f>
        <v>0</v>
      </c>
      <c r="R107" s="27"/>
      <c r="S107" s="27">
        <f t="shared" si="37"/>
        <v>0</v>
      </c>
      <c r="T107" s="27">
        <f t="shared" si="41"/>
        <v>0</v>
      </c>
      <c r="U107" s="27"/>
      <c r="V107" s="27">
        <f t="shared" si="29"/>
        <v>0</v>
      </c>
      <c r="W107" s="27"/>
      <c r="X107" s="27">
        <f t="shared" si="38"/>
        <v>0</v>
      </c>
      <c r="Y107" s="27">
        <f t="shared" si="39"/>
        <v>0</v>
      </c>
      <c r="Z107" s="27"/>
      <c r="AF107" s="27">
        <v>0</v>
      </c>
    </row>
    <row r="108" spans="1:32" ht="20.100000000000001" customHeight="1" outlineLevel="1" x14ac:dyDescent="0.2">
      <c r="A108" s="26" t="s">
        <v>327</v>
      </c>
      <c r="B108" s="30">
        <v>561</v>
      </c>
      <c r="C108" s="30" t="str">
        <f t="shared" si="34"/>
        <v>3</v>
      </c>
      <c r="D108" s="30" t="str">
        <f t="shared" si="35"/>
        <v>32</v>
      </c>
      <c r="E108" s="26" t="str">
        <f>LEFT(F108,3)</f>
        <v>329</v>
      </c>
      <c r="F108" s="26" t="s">
        <v>154</v>
      </c>
      <c r="G108" s="26" t="s">
        <v>207</v>
      </c>
      <c r="H108" s="26" t="s">
        <v>156</v>
      </c>
      <c r="I108" s="27">
        <v>2000</v>
      </c>
      <c r="J108" s="27">
        <f t="shared" si="40"/>
        <v>195.56999999999994</v>
      </c>
      <c r="K108" s="27">
        <v>1804.43</v>
      </c>
      <c r="L108" s="27">
        <v>0</v>
      </c>
      <c r="M108" s="27">
        <v>195.57</v>
      </c>
      <c r="N108" s="27">
        <v>0</v>
      </c>
      <c r="O108" s="27">
        <v>1804.43</v>
      </c>
      <c r="P108" s="28">
        <v>9.8000000000000004E-2</v>
      </c>
      <c r="Q108" s="27">
        <f t="shared" si="36"/>
        <v>195.56999999999994</v>
      </c>
      <c r="R108" s="27"/>
      <c r="S108" s="27">
        <f t="shared" si="37"/>
        <v>195.56999999999994</v>
      </c>
      <c r="T108" s="27">
        <f t="shared" si="41"/>
        <v>267.64999999999998</v>
      </c>
      <c r="U108" s="27">
        <v>267.64999999999998</v>
      </c>
      <c r="V108" s="27">
        <f t="shared" si="29"/>
        <v>0</v>
      </c>
      <c r="W108" s="27"/>
      <c r="X108" s="27">
        <f t="shared" si="38"/>
        <v>267.64999999999998</v>
      </c>
      <c r="Y108" s="27">
        <f t="shared" si="39"/>
        <v>0</v>
      </c>
      <c r="Z108" s="27"/>
      <c r="AF108" s="27">
        <v>267.64999999999998</v>
      </c>
    </row>
    <row r="109" spans="1:32" ht="20.100000000000001" customHeight="1" x14ac:dyDescent="0.2">
      <c r="F109" s="216" t="s">
        <v>37</v>
      </c>
      <c r="G109" s="216"/>
      <c r="H109" s="216"/>
      <c r="I109" s="52">
        <f>SUMIFS(I110:I277,$A110:$A277,"A212401",$B110:$B277,"571")</f>
        <v>0</v>
      </c>
      <c r="J109" s="52">
        <f t="shared" ref="J109:V109" si="42">SUMIFS(J110:J277,$A110:$A277,"A212401",$B110:$B277,"571")</f>
        <v>0</v>
      </c>
      <c r="K109" s="52">
        <f t="shared" si="42"/>
        <v>0</v>
      </c>
      <c r="L109" s="52">
        <f t="shared" si="42"/>
        <v>0</v>
      </c>
      <c r="M109" s="52">
        <f t="shared" si="42"/>
        <v>0</v>
      </c>
      <c r="N109" s="52">
        <f t="shared" si="42"/>
        <v>0</v>
      </c>
      <c r="O109" s="52">
        <f t="shared" si="42"/>
        <v>0</v>
      </c>
      <c r="P109" s="53">
        <v>0</v>
      </c>
      <c r="Q109" s="52">
        <f t="shared" si="42"/>
        <v>0</v>
      </c>
      <c r="R109" s="52">
        <f t="shared" si="42"/>
        <v>0</v>
      </c>
      <c r="S109" s="52">
        <f t="shared" si="42"/>
        <v>0</v>
      </c>
      <c r="T109" s="52">
        <f>SUMIFS(T110:T277,$A110:$A277,"A212401",$B110:$B277,"571")</f>
        <v>0</v>
      </c>
      <c r="U109" s="52">
        <f t="shared" si="42"/>
        <v>0</v>
      </c>
      <c r="V109" s="52">
        <f t="shared" si="42"/>
        <v>0</v>
      </c>
      <c r="W109" s="52">
        <f>SUMIFS(W110:W277,$A110:$A277,"A212401",$B110:$B277,"571")</f>
        <v>0</v>
      </c>
      <c r="X109" s="52">
        <f>SUMIFS(X110:X277,$A110:$A277,"A212401",$B110:$B277,"571")</f>
        <v>0</v>
      </c>
      <c r="Y109" s="52">
        <f>SUMIFS(Y110:Y277,$A110:$A277,"A212401",$B110:$B277,"571")</f>
        <v>0</v>
      </c>
      <c r="Z109" s="52"/>
      <c r="AF109" s="52">
        <v>0</v>
      </c>
    </row>
    <row r="110" spans="1:32" ht="20.100000000000001" customHeight="1" outlineLevel="1" x14ac:dyDescent="0.2">
      <c r="A110" s="26" t="s">
        <v>327</v>
      </c>
      <c r="B110" s="30">
        <v>571</v>
      </c>
      <c r="C110" s="30" t="str">
        <f>LEFT(F110,1)</f>
        <v>3</v>
      </c>
      <c r="D110" s="30" t="str">
        <f>LEFT(F110,2)</f>
        <v>32</v>
      </c>
      <c r="E110" s="26" t="str">
        <f>LEFT(F110,3)</f>
        <v>323</v>
      </c>
      <c r="F110" s="26" t="s">
        <v>41</v>
      </c>
      <c r="G110" s="26" t="s">
        <v>208</v>
      </c>
      <c r="H110" s="26" t="s">
        <v>43</v>
      </c>
      <c r="I110" s="27">
        <v>0</v>
      </c>
      <c r="J110" s="27">
        <f t="shared" si="40"/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8">
        <v>0</v>
      </c>
      <c r="Q110" s="27">
        <f>J110</f>
        <v>0</v>
      </c>
      <c r="R110" s="27"/>
      <c r="S110" s="27">
        <f>R110+Q110</f>
        <v>0</v>
      </c>
      <c r="T110" s="27">
        <f t="shared" si="41"/>
        <v>0</v>
      </c>
      <c r="U110" s="27">
        <v>0</v>
      </c>
      <c r="V110" s="27">
        <f t="shared" si="29"/>
        <v>0</v>
      </c>
      <c r="W110" s="27">
        <v>0</v>
      </c>
      <c r="X110" s="27">
        <f>W110+U110</f>
        <v>0</v>
      </c>
      <c r="Y110" s="27">
        <f>T110-X110</f>
        <v>0</v>
      </c>
      <c r="Z110" s="27"/>
      <c r="AF110" s="27">
        <v>0</v>
      </c>
    </row>
    <row r="111" spans="1:32" ht="35.1" customHeight="1" x14ac:dyDescent="0.2">
      <c r="F111" s="222" t="s">
        <v>209</v>
      </c>
      <c r="G111" s="222"/>
      <c r="H111" s="222"/>
      <c r="I111" s="39">
        <f>I112+I124+I137+I155</f>
        <v>312300</v>
      </c>
      <c r="J111" s="39">
        <f t="shared" ref="J111:V111" si="43">J112+J124+J137+J155</f>
        <v>228626.01</v>
      </c>
      <c r="K111" s="39">
        <f t="shared" si="43"/>
        <v>83673.989999999991</v>
      </c>
      <c r="L111" s="39">
        <f t="shared" si="43"/>
        <v>0</v>
      </c>
      <c r="M111" s="39">
        <f t="shared" si="43"/>
        <v>228626.01000000004</v>
      </c>
      <c r="N111" s="39">
        <f t="shared" si="43"/>
        <v>0</v>
      </c>
      <c r="O111" s="39">
        <f t="shared" si="43"/>
        <v>83773.989999999991</v>
      </c>
      <c r="P111" s="40">
        <v>0.73199999999999998</v>
      </c>
      <c r="Q111" s="39">
        <f t="shared" si="43"/>
        <v>228626.01</v>
      </c>
      <c r="R111" s="39">
        <f t="shared" si="43"/>
        <v>0</v>
      </c>
      <c r="S111" s="39">
        <f t="shared" si="43"/>
        <v>228626.01</v>
      </c>
      <c r="T111" s="39">
        <f>T112+T124+T137+T155</f>
        <v>343123.99</v>
      </c>
      <c r="U111" s="39">
        <f t="shared" si="43"/>
        <v>342414.91</v>
      </c>
      <c r="V111" s="39">
        <f t="shared" si="43"/>
        <v>709.08000000000266</v>
      </c>
      <c r="W111" s="39">
        <f>W112+W124+W137+W155</f>
        <v>0</v>
      </c>
      <c r="X111" s="39">
        <f>X112+X124+X137+X155</f>
        <v>342414.91</v>
      </c>
      <c r="Y111" s="39">
        <f>Y112+Y124+Y137+Y155</f>
        <v>709.08000000000288</v>
      </c>
      <c r="Z111" s="39"/>
      <c r="AF111" s="39">
        <v>342414.91</v>
      </c>
    </row>
    <row r="112" spans="1:32" ht="20.100000000000001" customHeight="1" x14ac:dyDescent="0.2">
      <c r="F112" s="216" t="s">
        <v>56</v>
      </c>
      <c r="G112" s="216"/>
      <c r="H112" s="216"/>
      <c r="I112" s="52">
        <f>SUMIFS(I113:I280,$A113:$A280,"A212402",$B113:$B280,"112")</f>
        <v>180000</v>
      </c>
      <c r="J112" s="52">
        <f t="shared" ref="J112:V112" si="44">SUMIFS(J113:J280,$A113:$A280,"A212402",$B113:$B280,"112")</f>
        <v>176005.63</v>
      </c>
      <c r="K112" s="52">
        <f t="shared" si="44"/>
        <v>3994.3700000000008</v>
      </c>
      <c r="L112" s="52">
        <f t="shared" si="44"/>
        <v>0</v>
      </c>
      <c r="M112" s="52">
        <f t="shared" si="44"/>
        <v>176005.63</v>
      </c>
      <c r="N112" s="52">
        <f t="shared" si="44"/>
        <v>0</v>
      </c>
      <c r="O112" s="52">
        <f t="shared" si="44"/>
        <v>3994.3700000000008</v>
      </c>
      <c r="P112" s="53">
        <v>0.97799999999999998</v>
      </c>
      <c r="Q112" s="52">
        <f t="shared" si="44"/>
        <v>176005.63</v>
      </c>
      <c r="R112" s="52">
        <f t="shared" si="44"/>
        <v>0</v>
      </c>
      <c r="S112" s="52">
        <f t="shared" si="44"/>
        <v>176005.63</v>
      </c>
      <c r="T112" s="52">
        <f>SUMIFS(T113:T280,$A113:$A280,"A212402",$B113:$B280,"112")</f>
        <v>176005.63</v>
      </c>
      <c r="U112" s="52">
        <f t="shared" si="44"/>
        <v>175296.55</v>
      </c>
      <c r="V112" s="52">
        <f t="shared" si="44"/>
        <v>709.08000000000266</v>
      </c>
      <c r="W112" s="52">
        <f>SUMIFS(W113:W280,$A113:$A280,"A212402",$B113:$B280,"112")</f>
        <v>1433.53</v>
      </c>
      <c r="X112" s="52">
        <f>SUMIFS(X113:X280,$A113:$A280,"A212402",$B113:$B280,"112")</f>
        <v>176730.08000000002</v>
      </c>
      <c r="Y112" s="52">
        <f>SUMIFS(Y113:Y280,$A113:$A280,"A212402",$B113:$B280,"112")</f>
        <v>-724.44999999999709</v>
      </c>
      <c r="Z112" s="52"/>
      <c r="AF112" s="52">
        <v>175296.55</v>
      </c>
    </row>
    <row r="113" spans="1:32" ht="20.100000000000001" customHeight="1" outlineLevel="1" x14ac:dyDescent="0.2">
      <c r="A113" s="26" t="s">
        <v>328</v>
      </c>
      <c r="B113" s="30">
        <v>112</v>
      </c>
      <c r="C113" s="30" t="str">
        <f t="shared" ref="C113:C123" si="45">LEFT(F113,1)</f>
        <v>3</v>
      </c>
      <c r="D113" s="30" t="str">
        <f t="shared" ref="D113:D123" si="46">LEFT(F113,2)</f>
        <v>32</v>
      </c>
      <c r="E113" s="26" t="str">
        <f t="shared" ref="E113:E162" si="47">LEFT(F113,3)</f>
        <v>321</v>
      </c>
      <c r="F113" s="26" t="s">
        <v>172</v>
      </c>
      <c r="G113" s="26" t="s">
        <v>210</v>
      </c>
      <c r="H113" s="26" t="s">
        <v>174</v>
      </c>
      <c r="I113" s="27">
        <v>5000</v>
      </c>
      <c r="J113" s="27">
        <v>0</v>
      </c>
      <c r="K113" s="27">
        <v>5000</v>
      </c>
      <c r="L113" s="27">
        <v>0</v>
      </c>
      <c r="M113" s="27">
        <v>0</v>
      </c>
      <c r="N113" s="27">
        <v>0</v>
      </c>
      <c r="O113" s="27">
        <v>5000</v>
      </c>
      <c r="P113" s="28">
        <v>0</v>
      </c>
      <c r="Q113" s="27">
        <f t="shared" ref="Q113:Q123" si="48">J113</f>
        <v>0</v>
      </c>
      <c r="R113" s="27"/>
      <c r="S113" s="27">
        <f t="shared" ref="S113:S123" si="49">R113+Q113</f>
        <v>0</v>
      </c>
      <c r="T113" s="27">
        <f t="shared" ref="T113:T123" si="50">S113</f>
        <v>0</v>
      </c>
      <c r="U113" s="27"/>
      <c r="V113" s="27">
        <f t="shared" ref="V113:V123" si="51">S113-U113</f>
        <v>0</v>
      </c>
      <c r="W113" s="27"/>
      <c r="X113" s="27">
        <f t="shared" ref="X113:X123" si="52">W113+U113</f>
        <v>0</v>
      </c>
      <c r="Y113" s="27">
        <f t="shared" ref="Y113:Y123" si="53">T113-X113</f>
        <v>0</v>
      </c>
      <c r="Z113" s="27"/>
      <c r="AF113" s="27">
        <v>0</v>
      </c>
    </row>
    <row r="114" spans="1:32" ht="20.100000000000001" customHeight="1" outlineLevel="1" x14ac:dyDescent="0.2">
      <c r="A114" s="26" t="s">
        <v>328</v>
      </c>
      <c r="B114" s="30">
        <v>112</v>
      </c>
      <c r="C114" s="30" t="str">
        <f t="shared" si="45"/>
        <v>3</v>
      </c>
      <c r="D114" s="30" t="str">
        <f t="shared" si="46"/>
        <v>32</v>
      </c>
      <c r="E114" s="26" t="str">
        <f t="shared" si="47"/>
        <v>322</v>
      </c>
      <c r="F114" s="26" t="s">
        <v>72</v>
      </c>
      <c r="G114" s="26" t="s">
        <v>211</v>
      </c>
      <c r="H114" s="26" t="s">
        <v>74</v>
      </c>
      <c r="I114" s="27">
        <v>60000</v>
      </c>
      <c r="J114" s="27">
        <v>60000</v>
      </c>
      <c r="K114" s="27">
        <v>0</v>
      </c>
      <c r="L114" s="27">
        <v>0</v>
      </c>
      <c r="M114" s="27">
        <v>60000</v>
      </c>
      <c r="N114" s="27">
        <v>0</v>
      </c>
      <c r="O114" s="27">
        <v>0</v>
      </c>
      <c r="P114" s="28">
        <v>1</v>
      </c>
      <c r="Q114" s="27">
        <f t="shared" si="48"/>
        <v>60000</v>
      </c>
      <c r="R114" s="27"/>
      <c r="S114" s="27">
        <f t="shared" si="49"/>
        <v>60000</v>
      </c>
      <c r="T114" s="27">
        <f t="shared" si="50"/>
        <v>60000</v>
      </c>
      <c r="U114" s="27">
        <v>60724.45</v>
      </c>
      <c r="V114" s="27">
        <f t="shared" si="51"/>
        <v>-724.44999999999709</v>
      </c>
      <c r="W114" s="27"/>
      <c r="X114" s="27">
        <f t="shared" si="52"/>
        <v>60724.45</v>
      </c>
      <c r="Y114" s="27">
        <f t="shared" si="53"/>
        <v>-724.44999999999709</v>
      </c>
      <c r="Z114" s="27"/>
      <c r="AF114" s="27">
        <v>60724.45</v>
      </c>
    </row>
    <row r="115" spans="1:32" ht="20.100000000000001" customHeight="1" outlineLevel="1" x14ac:dyDescent="0.2">
      <c r="A115" s="26" t="s">
        <v>328</v>
      </c>
      <c r="B115" s="30">
        <v>112</v>
      </c>
      <c r="C115" s="30" t="str">
        <f t="shared" si="45"/>
        <v>3</v>
      </c>
      <c r="D115" s="30" t="str">
        <f t="shared" si="46"/>
        <v>32</v>
      </c>
      <c r="E115" s="26" t="str">
        <f t="shared" si="47"/>
        <v>322</v>
      </c>
      <c r="F115" s="26" t="s">
        <v>75</v>
      </c>
      <c r="G115" s="26" t="s">
        <v>212</v>
      </c>
      <c r="H115" s="26" t="s">
        <v>77</v>
      </c>
      <c r="I115" s="27">
        <v>11200</v>
      </c>
      <c r="J115" s="27">
        <v>5063.03</v>
      </c>
      <c r="K115" s="27">
        <v>6136.97</v>
      </c>
      <c r="L115" s="27">
        <v>0</v>
      </c>
      <c r="M115" s="27">
        <v>5063.03</v>
      </c>
      <c r="N115" s="27">
        <v>0</v>
      </c>
      <c r="O115" s="27">
        <v>6136.97</v>
      </c>
      <c r="P115" s="28">
        <v>0.45200000000000001</v>
      </c>
      <c r="Q115" s="27">
        <f t="shared" si="48"/>
        <v>5063.03</v>
      </c>
      <c r="R115" s="27"/>
      <c r="S115" s="27">
        <f t="shared" si="49"/>
        <v>5063.03</v>
      </c>
      <c r="T115" s="27">
        <f t="shared" si="50"/>
        <v>5063.03</v>
      </c>
      <c r="U115" s="27">
        <v>3629.5</v>
      </c>
      <c r="V115" s="27">
        <f t="shared" si="51"/>
        <v>1433.5299999999997</v>
      </c>
      <c r="W115" s="27">
        <v>1433.53</v>
      </c>
      <c r="X115" s="27">
        <f t="shared" si="52"/>
        <v>5063.03</v>
      </c>
      <c r="Y115" s="27">
        <f t="shared" si="53"/>
        <v>0</v>
      </c>
      <c r="Z115" s="27"/>
      <c r="AF115" s="27">
        <v>3629.5</v>
      </c>
    </row>
    <row r="116" spans="1:32" ht="20.100000000000001" customHeight="1" outlineLevel="1" x14ac:dyDescent="0.2">
      <c r="A116" s="26" t="s">
        <v>328</v>
      </c>
      <c r="B116" s="30">
        <v>112</v>
      </c>
      <c r="C116" s="30" t="str">
        <f t="shared" si="45"/>
        <v>3</v>
      </c>
      <c r="D116" s="30" t="str">
        <f t="shared" si="46"/>
        <v>32</v>
      </c>
      <c r="E116" s="26" t="str">
        <f t="shared" si="47"/>
        <v>323</v>
      </c>
      <c r="F116" s="26" t="s">
        <v>87</v>
      </c>
      <c r="G116" s="26" t="s">
        <v>213</v>
      </c>
      <c r="H116" s="26" t="s">
        <v>89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8">
        <v>0</v>
      </c>
      <c r="Q116" s="27">
        <f t="shared" si="48"/>
        <v>0</v>
      </c>
      <c r="R116" s="27"/>
      <c r="S116" s="27">
        <f t="shared" si="49"/>
        <v>0</v>
      </c>
      <c r="T116" s="27">
        <f t="shared" si="50"/>
        <v>0</v>
      </c>
      <c r="U116" s="27"/>
      <c r="V116" s="27">
        <f t="shared" si="51"/>
        <v>0</v>
      </c>
      <c r="W116" s="27"/>
      <c r="X116" s="27">
        <f t="shared" si="52"/>
        <v>0</v>
      </c>
      <c r="Y116" s="27">
        <f t="shared" si="53"/>
        <v>0</v>
      </c>
      <c r="Z116" s="27"/>
      <c r="AF116" s="27">
        <v>0</v>
      </c>
    </row>
    <row r="117" spans="1:32" ht="20.100000000000001" customHeight="1" outlineLevel="1" x14ac:dyDescent="0.2">
      <c r="A117" s="26" t="s">
        <v>328</v>
      </c>
      <c r="B117" s="30">
        <v>112</v>
      </c>
      <c r="C117" s="30" t="str">
        <f t="shared" si="45"/>
        <v>3</v>
      </c>
      <c r="D117" s="30" t="str">
        <f t="shared" si="46"/>
        <v>32</v>
      </c>
      <c r="E117" s="26" t="str">
        <f t="shared" si="47"/>
        <v>323</v>
      </c>
      <c r="F117" s="26" t="s">
        <v>38</v>
      </c>
      <c r="G117" s="26" t="s">
        <v>214</v>
      </c>
      <c r="H117" s="26" t="s">
        <v>40</v>
      </c>
      <c r="I117" s="27">
        <v>0</v>
      </c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27">
        <v>0</v>
      </c>
      <c r="P117" s="28">
        <v>0</v>
      </c>
      <c r="Q117" s="27">
        <f t="shared" si="48"/>
        <v>0</v>
      </c>
      <c r="R117" s="27"/>
      <c r="S117" s="27">
        <f t="shared" si="49"/>
        <v>0</v>
      </c>
      <c r="T117" s="27">
        <f t="shared" si="50"/>
        <v>0</v>
      </c>
      <c r="U117" s="27"/>
      <c r="V117" s="27">
        <f t="shared" si="51"/>
        <v>0</v>
      </c>
      <c r="W117" s="27"/>
      <c r="X117" s="27">
        <f t="shared" si="52"/>
        <v>0</v>
      </c>
      <c r="Y117" s="27">
        <f t="shared" si="53"/>
        <v>0</v>
      </c>
      <c r="Z117" s="27"/>
      <c r="AF117" s="27">
        <v>0</v>
      </c>
    </row>
    <row r="118" spans="1:32" ht="20.100000000000001" customHeight="1" outlineLevel="1" x14ac:dyDescent="0.2">
      <c r="A118" s="26" t="s">
        <v>328</v>
      </c>
      <c r="B118" s="30">
        <v>112</v>
      </c>
      <c r="C118" s="30" t="str">
        <f t="shared" si="45"/>
        <v>3</v>
      </c>
      <c r="D118" s="30" t="str">
        <f t="shared" si="46"/>
        <v>32</v>
      </c>
      <c r="E118" s="26" t="str">
        <f t="shared" si="47"/>
        <v>323</v>
      </c>
      <c r="F118" s="26" t="s">
        <v>91</v>
      </c>
      <c r="G118" s="26" t="s">
        <v>215</v>
      </c>
      <c r="H118" s="26" t="s">
        <v>93</v>
      </c>
      <c r="I118" s="27">
        <v>900</v>
      </c>
      <c r="J118" s="27">
        <v>591.25</v>
      </c>
      <c r="K118" s="27">
        <v>308.75</v>
      </c>
      <c r="L118" s="27">
        <v>0</v>
      </c>
      <c r="M118" s="27">
        <v>591.25</v>
      </c>
      <c r="N118" s="27">
        <v>0</v>
      </c>
      <c r="O118" s="27">
        <v>308.75</v>
      </c>
      <c r="P118" s="28">
        <v>0.65700000000000003</v>
      </c>
      <c r="Q118" s="27">
        <f t="shared" si="48"/>
        <v>591.25</v>
      </c>
      <c r="R118" s="27"/>
      <c r="S118" s="27">
        <f t="shared" si="49"/>
        <v>591.25</v>
      </c>
      <c r="T118" s="27">
        <f t="shared" si="50"/>
        <v>591.25</v>
      </c>
      <c r="U118" s="27">
        <v>591.25</v>
      </c>
      <c r="V118" s="27">
        <f t="shared" si="51"/>
        <v>0</v>
      </c>
      <c r="W118" s="27"/>
      <c r="X118" s="27">
        <f t="shared" si="52"/>
        <v>591.25</v>
      </c>
      <c r="Y118" s="27">
        <f t="shared" si="53"/>
        <v>0</v>
      </c>
      <c r="Z118" s="27"/>
      <c r="AF118" s="27">
        <v>591.25</v>
      </c>
    </row>
    <row r="119" spans="1:32" ht="20.100000000000001" customHeight="1" outlineLevel="1" x14ac:dyDescent="0.2">
      <c r="A119" s="26" t="s">
        <v>328</v>
      </c>
      <c r="B119" s="30">
        <v>112</v>
      </c>
      <c r="C119" s="30" t="str">
        <f t="shared" si="45"/>
        <v>3</v>
      </c>
      <c r="D119" s="30" t="str">
        <f t="shared" si="46"/>
        <v>32</v>
      </c>
      <c r="E119" s="26" t="str">
        <f t="shared" si="47"/>
        <v>323</v>
      </c>
      <c r="F119" s="26" t="s">
        <v>97</v>
      </c>
      <c r="G119" s="26" t="s">
        <v>216</v>
      </c>
      <c r="H119" s="26" t="s">
        <v>99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28">
        <v>0</v>
      </c>
      <c r="Q119" s="27">
        <f t="shared" si="48"/>
        <v>0</v>
      </c>
      <c r="R119" s="27"/>
      <c r="S119" s="27">
        <f t="shared" si="49"/>
        <v>0</v>
      </c>
      <c r="T119" s="27">
        <f t="shared" si="50"/>
        <v>0</v>
      </c>
      <c r="U119" s="27"/>
      <c r="V119" s="27">
        <f t="shared" si="51"/>
        <v>0</v>
      </c>
      <c r="W119" s="27"/>
      <c r="X119" s="27">
        <f t="shared" si="52"/>
        <v>0</v>
      </c>
      <c r="Y119" s="27">
        <f t="shared" si="53"/>
        <v>0</v>
      </c>
      <c r="Z119" s="27"/>
      <c r="AF119" s="27">
        <v>0</v>
      </c>
    </row>
    <row r="120" spans="1:32" ht="20.100000000000001" customHeight="1" outlineLevel="1" x14ac:dyDescent="0.2">
      <c r="A120" s="26" t="s">
        <v>328</v>
      </c>
      <c r="B120" s="30">
        <v>112</v>
      </c>
      <c r="C120" s="30" t="str">
        <f t="shared" si="45"/>
        <v>3</v>
      </c>
      <c r="D120" s="30" t="str">
        <f t="shared" si="46"/>
        <v>32</v>
      </c>
      <c r="E120" s="26" t="str">
        <f t="shared" si="47"/>
        <v>323</v>
      </c>
      <c r="F120" s="26" t="s">
        <v>41</v>
      </c>
      <c r="G120" s="26" t="s">
        <v>217</v>
      </c>
      <c r="H120" s="26" t="s">
        <v>43</v>
      </c>
      <c r="I120" s="27">
        <v>58800</v>
      </c>
      <c r="J120" s="27">
        <v>74866.350000000006</v>
      </c>
      <c r="K120" s="27">
        <v>-16066.35</v>
      </c>
      <c r="L120" s="27">
        <v>0</v>
      </c>
      <c r="M120" s="27">
        <v>74866.350000000006</v>
      </c>
      <c r="N120" s="27">
        <v>0</v>
      </c>
      <c r="O120" s="27">
        <v>-16066.35</v>
      </c>
      <c r="P120" s="28">
        <v>1.2729999999999999</v>
      </c>
      <c r="Q120" s="27">
        <f t="shared" si="48"/>
        <v>74866.350000000006</v>
      </c>
      <c r="R120" s="27"/>
      <c r="S120" s="27">
        <f t="shared" si="49"/>
        <v>74866.350000000006</v>
      </c>
      <c r="T120" s="27">
        <f t="shared" si="50"/>
        <v>74866.350000000006</v>
      </c>
      <c r="U120" s="27">
        <v>74866.350000000006</v>
      </c>
      <c r="V120" s="27">
        <f t="shared" si="51"/>
        <v>0</v>
      </c>
      <c r="W120" s="27"/>
      <c r="X120" s="27">
        <f t="shared" si="52"/>
        <v>74866.350000000006</v>
      </c>
      <c r="Y120" s="27">
        <f t="shared" si="53"/>
        <v>0</v>
      </c>
      <c r="Z120" s="27"/>
      <c r="AF120" s="27">
        <v>74866.350000000006</v>
      </c>
    </row>
    <row r="121" spans="1:32" ht="20.100000000000001" customHeight="1" outlineLevel="1" x14ac:dyDescent="0.2">
      <c r="A121" s="26" t="s">
        <v>328</v>
      </c>
      <c r="B121" s="30">
        <v>112</v>
      </c>
      <c r="C121" s="30" t="str">
        <f t="shared" si="45"/>
        <v>3</v>
      </c>
      <c r="D121" s="30" t="str">
        <f t="shared" si="46"/>
        <v>32</v>
      </c>
      <c r="E121" s="26" t="str">
        <f t="shared" si="47"/>
        <v>323</v>
      </c>
      <c r="F121" s="26" t="s">
        <v>104</v>
      </c>
      <c r="G121" s="26" t="s">
        <v>218</v>
      </c>
      <c r="H121" s="26" t="s">
        <v>106</v>
      </c>
      <c r="I121" s="27">
        <v>23000</v>
      </c>
      <c r="J121" s="27">
        <v>23000</v>
      </c>
      <c r="K121" s="27">
        <v>0</v>
      </c>
      <c r="L121" s="27">
        <v>0</v>
      </c>
      <c r="M121" s="27">
        <v>23000</v>
      </c>
      <c r="N121" s="27">
        <v>0</v>
      </c>
      <c r="O121" s="27">
        <v>0</v>
      </c>
      <c r="P121" s="28">
        <v>1</v>
      </c>
      <c r="Q121" s="27">
        <f t="shared" si="48"/>
        <v>23000</v>
      </c>
      <c r="R121" s="27"/>
      <c r="S121" s="27">
        <f t="shared" si="49"/>
        <v>23000</v>
      </c>
      <c r="T121" s="27">
        <f t="shared" si="50"/>
        <v>23000</v>
      </c>
      <c r="U121" s="27">
        <v>23000</v>
      </c>
      <c r="V121" s="27">
        <f t="shared" si="51"/>
        <v>0</v>
      </c>
      <c r="W121" s="27"/>
      <c r="X121" s="27">
        <f t="shared" si="52"/>
        <v>23000</v>
      </c>
      <c r="Y121" s="27">
        <f t="shared" si="53"/>
        <v>0</v>
      </c>
      <c r="Z121" s="27"/>
      <c r="AF121" s="27">
        <v>23000</v>
      </c>
    </row>
    <row r="122" spans="1:32" ht="20.100000000000001" customHeight="1" outlineLevel="1" x14ac:dyDescent="0.2">
      <c r="A122" s="26" t="s">
        <v>328</v>
      </c>
      <c r="B122" s="30">
        <v>112</v>
      </c>
      <c r="C122" s="30" t="str">
        <f t="shared" si="45"/>
        <v>3</v>
      </c>
      <c r="D122" s="30" t="str">
        <f t="shared" si="46"/>
        <v>32</v>
      </c>
      <c r="E122" s="26" t="str">
        <f t="shared" si="47"/>
        <v>323</v>
      </c>
      <c r="F122" s="26" t="s">
        <v>126</v>
      </c>
      <c r="G122" s="26" t="s">
        <v>219</v>
      </c>
      <c r="H122" s="26" t="s">
        <v>128</v>
      </c>
      <c r="I122" s="27">
        <v>21100</v>
      </c>
      <c r="J122" s="27">
        <v>12485</v>
      </c>
      <c r="K122" s="27">
        <v>8615</v>
      </c>
      <c r="L122" s="27">
        <v>0</v>
      </c>
      <c r="M122" s="27">
        <v>12485</v>
      </c>
      <c r="N122" s="27">
        <v>0</v>
      </c>
      <c r="O122" s="27">
        <v>8615</v>
      </c>
      <c r="P122" s="28">
        <v>0.59199999999999997</v>
      </c>
      <c r="Q122" s="27">
        <f t="shared" si="48"/>
        <v>12485</v>
      </c>
      <c r="R122" s="27"/>
      <c r="S122" s="27">
        <f t="shared" si="49"/>
        <v>12485</v>
      </c>
      <c r="T122" s="27">
        <f t="shared" si="50"/>
        <v>12485</v>
      </c>
      <c r="U122" s="27">
        <v>12485</v>
      </c>
      <c r="V122" s="27">
        <f t="shared" si="51"/>
        <v>0</v>
      </c>
      <c r="W122" s="27"/>
      <c r="X122" s="27">
        <f t="shared" si="52"/>
        <v>12485</v>
      </c>
      <c r="Y122" s="27">
        <f t="shared" si="53"/>
        <v>0</v>
      </c>
      <c r="Z122" s="27"/>
      <c r="AF122" s="27">
        <v>12485</v>
      </c>
    </row>
    <row r="123" spans="1:32" ht="20.100000000000001" customHeight="1" outlineLevel="1" x14ac:dyDescent="0.2">
      <c r="A123" s="26" t="s">
        <v>328</v>
      </c>
      <c r="B123" s="30">
        <v>112</v>
      </c>
      <c r="C123" s="30" t="str">
        <f t="shared" si="45"/>
        <v>3</v>
      </c>
      <c r="D123" s="30" t="str">
        <f t="shared" si="46"/>
        <v>32</v>
      </c>
      <c r="E123" s="26" t="str">
        <f t="shared" si="47"/>
        <v>329</v>
      </c>
      <c r="F123" s="26" t="s">
        <v>154</v>
      </c>
      <c r="G123" s="26" t="s">
        <v>220</v>
      </c>
      <c r="H123" s="26" t="s">
        <v>156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8">
        <v>0</v>
      </c>
      <c r="Q123" s="27">
        <f t="shared" si="48"/>
        <v>0</v>
      </c>
      <c r="R123" s="27"/>
      <c r="S123" s="27">
        <f t="shared" si="49"/>
        <v>0</v>
      </c>
      <c r="T123" s="27">
        <f t="shared" si="50"/>
        <v>0</v>
      </c>
      <c r="U123" s="27"/>
      <c r="V123" s="27">
        <f t="shared" si="51"/>
        <v>0</v>
      </c>
      <c r="W123" s="27"/>
      <c r="X123" s="27">
        <f t="shared" si="52"/>
        <v>0</v>
      </c>
      <c r="Y123" s="27">
        <f t="shared" si="53"/>
        <v>0</v>
      </c>
      <c r="Z123" s="27"/>
      <c r="AF123" s="27">
        <v>0</v>
      </c>
    </row>
    <row r="124" spans="1:32" ht="20.100000000000001" customHeight="1" x14ac:dyDescent="0.2">
      <c r="F124" s="216" t="s">
        <v>129</v>
      </c>
      <c r="G124" s="216"/>
      <c r="H124" s="216"/>
      <c r="I124" s="52">
        <f>SUMIFS(I125:I292,$A125:$A292,"A212402",$B125:$B292,"431")</f>
        <v>56300</v>
      </c>
      <c r="J124" s="52">
        <f t="shared" ref="J124:V124" si="54">SUMIFS(J125:J292,$A125:$A292,"A212402",$B125:$B292,"431")</f>
        <v>32214.83</v>
      </c>
      <c r="K124" s="52">
        <f t="shared" si="54"/>
        <v>24085.17</v>
      </c>
      <c r="L124" s="52">
        <f t="shared" si="54"/>
        <v>0</v>
      </c>
      <c r="M124" s="52">
        <f t="shared" si="54"/>
        <v>32214.83</v>
      </c>
      <c r="N124" s="52">
        <f t="shared" si="54"/>
        <v>0</v>
      </c>
      <c r="O124" s="52">
        <f t="shared" si="54"/>
        <v>24085.17</v>
      </c>
      <c r="P124" s="53">
        <v>0.57199999999999995</v>
      </c>
      <c r="Q124" s="52">
        <f t="shared" si="54"/>
        <v>32214.83</v>
      </c>
      <c r="R124" s="52">
        <f t="shared" si="54"/>
        <v>0</v>
      </c>
      <c r="S124" s="52">
        <f t="shared" si="54"/>
        <v>32214.83</v>
      </c>
      <c r="T124" s="52">
        <f>SUMIFS(T125:T292,$A125:$A292,"A212402",$B125:$B292,"431")</f>
        <v>94772.010000000009</v>
      </c>
      <c r="U124" s="52">
        <f t="shared" si="54"/>
        <v>94772.010000000009</v>
      </c>
      <c r="V124" s="52">
        <f t="shared" si="54"/>
        <v>0</v>
      </c>
      <c r="W124" s="52">
        <f>SUMIFS(W125:W292,$A125:$A292,"A212402",$B125:$B292,"431")</f>
        <v>0</v>
      </c>
      <c r="X124" s="52">
        <f>SUMIFS(X125:X292,$A125:$A292,"A212402",$B125:$B292,"431")</f>
        <v>94772.010000000009</v>
      </c>
      <c r="Y124" s="52">
        <f>SUMIFS(Y125:Y292,$A125:$A292,"A212402",$B125:$B292,"431")</f>
        <v>0</v>
      </c>
      <c r="Z124" s="52"/>
      <c r="AA124" s="38" t="s">
        <v>347</v>
      </c>
      <c r="AB124" s="38" t="s">
        <v>349</v>
      </c>
      <c r="AF124" s="52">
        <v>94772.010000000009</v>
      </c>
    </row>
    <row r="125" spans="1:32" ht="20.100000000000001" customHeight="1" outlineLevel="1" x14ac:dyDescent="0.2">
      <c r="A125" s="26" t="s">
        <v>328</v>
      </c>
      <c r="B125" s="30">
        <v>431</v>
      </c>
      <c r="C125" s="30" t="str">
        <f t="shared" ref="C125:C136" si="55">LEFT(F125,1)</f>
        <v>3</v>
      </c>
      <c r="D125" s="30" t="str">
        <f t="shared" ref="D125:D136" si="56">LEFT(F125,2)</f>
        <v>32</v>
      </c>
      <c r="E125" s="26" t="str">
        <f t="shared" si="47"/>
        <v>321</v>
      </c>
      <c r="F125" s="26" t="s">
        <v>130</v>
      </c>
      <c r="G125" s="26" t="s">
        <v>221</v>
      </c>
      <c r="H125" s="26" t="s">
        <v>132</v>
      </c>
      <c r="I125" s="27">
        <v>20000</v>
      </c>
      <c r="J125" s="27">
        <f t="shared" ref="J125:J136" si="57">I125-K125</f>
        <v>11071.82</v>
      </c>
      <c r="K125" s="27">
        <v>8928.18</v>
      </c>
      <c r="L125" s="27">
        <v>0</v>
      </c>
      <c r="M125" s="27">
        <v>11071.82</v>
      </c>
      <c r="N125" s="27">
        <v>0</v>
      </c>
      <c r="O125" s="27">
        <v>8928.18</v>
      </c>
      <c r="P125" s="28">
        <v>0.55400000000000005</v>
      </c>
      <c r="Q125" s="27">
        <f t="shared" ref="Q125:Q136" si="58">J125</f>
        <v>11071.82</v>
      </c>
      <c r="R125" s="27"/>
      <c r="S125" s="27">
        <f t="shared" ref="S125:S136" si="59">R125+Q125</f>
        <v>11071.82</v>
      </c>
      <c r="T125" s="27">
        <f t="shared" ref="T125:T162" si="60">U125</f>
        <v>16665.310000000001</v>
      </c>
      <c r="U125" s="27">
        <v>16665.310000000001</v>
      </c>
      <c r="V125" s="27">
        <f t="shared" ref="V125:V136" si="61">T125-U125</f>
        <v>0</v>
      </c>
      <c r="W125" s="27"/>
      <c r="X125" s="27">
        <f t="shared" ref="X125:X136" si="62">W125+U125</f>
        <v>16665.310000000001</v>
      </c>
      <c r="Y125" s="27">
        <f t="shared" ref="Y125:Y136" si="63">T125-X125</f>
        <v>0</v>
      </c>
      <c r="Z125" s="27"/>
      <c r="AF125" s="27">
        <v>16665.310000000001</v>
      </c>
    </row>
    <row r="126" spans="1:32" ht="20.100000000000001" customHeight="1" outlineLevel="1" x14ac:dyDescent="0.2">
      <c r="A126" s="26" t="s">
        <v>328</v>
      </c>
      <c r="B126" s="30">
        <v>431</v>
      </c>
      <c r="C126" s="30" t="str">
        <f t="shared" si="55"/>
        <v>3</v>
      </c>
      <c r="D126" s="30" t="str">
        <f t="shared" si="56"/>
        <v>32</v>
      </c>
      <c r="E126" s="26" t="str">
        <f t="shared" si="47"/>
        <v>321</v>
      </c>
      <c r="F126" s="26" t="s">
        <v>69</v>
      </c>
      <c r="G126" s="26" t="s">
        <v>222</v>
      </c>
      <c r="H126" s="26" t="s">
        <v>71</v>
      </c>
      <c r="I126" s="27">
        <v>2000</v>
      </c>
      <c r="J126" s="27">
        <f t="shared" si="57"/>
        <v>1371.47</v>
      </c>
      <c r="K126" s="27">
        <v>628.53</v>
      </c>
      <c r="L126" s="27">
        <v>0</v>
      </c>
      <c r="M126" s="27">
        <v>1371.47</v>
      </c>
      <c r="N126" s="27">
        <v>0</v>
      </c>
      <c r="O126" s="27">
        <v>628.53</v>
      </c>
      <c r="P126" s="28">
        <v>0.68600000000000005</v>
      </c>
      <c r="Q126" s="27">
        <f t="shared" si="58"/>
        <v>1371.47</v>
      </c>
      <c r="R126" s="27"/>
      <c r="S126" s="27">
        <f t="shared" si="59"/>
        <v>1371.47</v>
      </c>
      <c r="T126" s="27">
        <f t="shared" si="60"/>
        <v>1411.47</v>
      </c>
      <c r="U126" s="27">
        <v>1411.47</v>
      </c>
      <c r="V126" s="27">
        <f t="shared" si="61"/>
        <v>0</v>
      </c>
      <c r="W126" s="27"/>
      <c r="X126" s="27">
        <f t="shared" si="62"/>
        <v>1411.47</v>
      </c>
      <c r="Y126" s="27">
        <f t="shared" si="63"/>
        <v>0</v>
      </c>
      <c r="Z126" s="27"/>
      <c r="AF126" s="27">
        <v>1411.47</v>
      </c>
    </row>
    <row r="127" spans="1:32" ht="20.100000000000001" customHeight="1" outlineLevel="1" x14ac:dyDescent="0.2">
      <c r="A127" s="26" t="s">
        <v>328</v>
      </c>
      <c r="B127" s="30">
        <v>431</v>
      </c>
      <c r="C127" s="30" t="str">
        <f t="shared" si="55"/>
        <v>3</v>
      </c>
      <c r="D127" s="30" t="str">
        <f t="shared" si="56"/>
        <v>32</v>
      </c>
      <c r="E127" s="26" t="str">
        <f t="shared" si="47"/>
        <v>322</v>
      </c>
      <c r="F127" s="26" t="s">
        <v>72</v>
      </c>
      <c r="G127" s="26" t="s">
        <v>223</v>
      </c>
      <c r="H127" s="26" t="s">
        <v>74</v>
      </c>
      <c r="I127" s="27">
        <v>1000</v>
      </c>
      <c r="J127" s="27">
        <f t="shared" si="57"/>
        <v>1667.4299999999998</v>
      </c>
      <c r="K127" s="27">
        <v>-667.43</v>
      </c>
      <c r="L127" s="27">
        <v>0</v>
      </c>
      <c r="M127" s="27">
        <v>1667.43</v>
      </c>
      <c r="N127" s="27">
        <v>0</v>
      </c>
      <c r="O127" s="27">
        <v>-667.43</v>
      </c>
      <c r="P127" s="28">
        <v>1.667</v>
      </c>
      <c r="Q127" s="27">
        <f t="shared" si="58"/>
        <v>1667.4299999999998</v>
      </c>
      <c r="R127" s="27"/>
      <c r="S127" s="27">
        <f t="shared" si="59"/>
        <v>1667.4299999999998</v>
      </c>
      <c r="T127" s="27">
        <f t="shared" si="60"/>
        <v>37892.080000000002</v>
      </c>
      <c r="U127" s="27">
        <v>37892.080000000002</v>
      </c>
      <c r="V127" s="27">
        <f t="shared" si="61"/>
        <v>0</v>
      </c>
      <c r="W127" s="27"/>
      <c r="X127" s="27">
        <f t="shared" si="62"/>
        <v>37892.080000000002</v>
      </c>
      <c r="Y127" s="27">
        <f t="shared" si="63"/>
        <v>0</v>
      </c>
      <c r="Z127" s="27"/>
      <c r="AF127" s="27">
        <v>37892.080000000002</v>
      </c>
    </row>
    <row r="128" spans="1:32" ht="20.100000000000001" customHeight="1" outlineLevel="1" x14ac:dyDescent="0.2">
      <c r="A128" s="26" t="s">
        <v>328</v>
      </c>
      <c r="B128" s="30">
        <v>431</v>
      </c>
      <c r="C128" s="30" t="str">
        <f t="shared" si="55"/>
        <v>3</v>
      </c>
      <c r="D128" s="30" t="str">
        <f t="shared" si="56"/>
        <v>32</v>
      </c>
      <c r="E128" s="26" t="str">
        <f t="shared" si="47"/>
        <v>322</v>
      </c>
      <c r="F128" s="26" t="s">
        <v>75</v>
      </c>
      <c r="G128" s="26" t="s">
        <v>224</v>
      </c>
      <c r="H128" s="26" t="s">
        <v>77</v>
      </c>
      <c r="I128" s="27">
        <v>1000</v>
      </c>
      <c r="J128" s="27">
        <f t="shared" si="57"/>
        <v>807.99</v>
      </c>
      <c r="K128" s="27">
        <v>192.01</v>
      </c>
      <c r="L128" s="27">
        <v>0</v>
      </c>
      <c r="M128" s="27">
        <v>807.99</v>
      </c>
      <c r="N128" s="27">
        <v>0</v>
      </c>
      <c r="O128" s="27">
        <v>192.01</v>
      </c>
      <c r="P128" s="28">
        <v>0.80800000000000005</v>
      </c>
      <c r="Q128" s="27">
        <f t="shared" si="58"/>
        <v>807.99</v>
      </c>
      <c r="R128" s="27"/>
      <c r="S128" s="27">
        <f t="shared" si="59"/>
        <v>807.99</v>
      </c>
      <c r="T128" s="27">
        <f t="shared" si="60"/>
        <v>1151.2</v>
      </c>
      <c r="U128" s="27">
        <v>1151.2</v>
      </c>
      <c r="V128" s="27">
        <f t="shared" si="61"/>
        <v>0</v>
      </c>
      <c r="W128" s="27"/>
      <c r="X128" s="27">
        <f t="shared" si="62"/>
        <v>1151.2</v>
      </c>
      <c r="Y128" s="27">
        <f t="shared" si="63"/>
        <v>0</v>
      </c>
      <c r="Z128" s="27"/>
      <c r="AF128" s="27">
        <v>1151.2</v>
      </c>
    </row>
    <row r="129" spans="1:32" ht="20.100000000000001" customHeight="1" outlineLevel="1" x14ac:dyDescent="0.2">
      <c r="A129" s="26" t="s">
        <v>328</v>
      </c>
      <c r="B129" s="30">
        <v>431</v>
      </c>
      <c r="C129" s="30" t="str">
        <f t="shared" si="55"/>
        <v>3</v>
      </c>
      <c r="D129" s="30" t="str">
        <f t="shared" si="56"/>
        <v>32</v>
      </c>
      <c r="E129" s="26" t="str">
        <f t="shared" si="47"/>
        <v>322</v>
      </c>
      <c r="F129" s="26" t="s">
        <v>84</v>
      </c>
      <c r="G129" s="26" t="s">
        <v>225</v>
      </c>
      <c r="H129" s="26" t="s">
        <v>86</v>
      </c>
      <c r="I129" s="27">
        <v>1000</v>
      </c>
      <c r="J129" s="27">
        <f t="shared" si="57"/>
        <v>405.5</v>
      </c>
      <c r="K129" s="27">
        <v>594.5</v>
      </c>
      <c r="L129" s="27">
        <v>0</v>
      </c>
      <c r="M129" s="27">
        <v>405.5</v>
      </c>
      <c r="N129" s="27">
        <v>0</v>
      </c>
      <c r="O129" s="27">
        <v>594.5</v>
      </c>
      <c r="P129" s="28">
        <v>0.40600000000000003</v>
      </c>
      <c r="Q129" s="27">
        <f t="shared" si="58"/>
        <v>405.5</v>
      </c>
      <c r="R129" s="27"/>
      <c r="S129" s="27">
        <f t="shared" si="59"/>
        <v>405.5</v>
      </c>
      <c r="T129" s="27">
        <f t="shared" si="60"/>
        <v>575.54999999999995</v>
      </c>
      <c r="U129" s="27">
        <v>575.54999999999995</v>
      </c>
      <c r="V129" s="27">
        <f t="shared" si="61"/>
        <v>0</v>
      </c>
      <c r="W129" s="27"/>
      <c r="X129" s="27">
        <f t="shared" si="62"/>
        <v>575.54999999999995</v>
      </c>
      <c r="Y129" s="27">
        <f t="shared" si="63"/>
        <v>0</v>
      </c>
      <c r="Z129" s="27"/>
      <c r="AF129" s="27">
        <v>575.54999999999995</v>
      </c>
    </row>
    <row r="130" spans="1:32" ht="20.100000000000001" customHeight="1" outlineLevel="1" x14ac:dyDescent="0.2">
      <c r="A130" s="26" t="s">
        <v>328</v>
      </c>
      <c r="B130" s="30">
        <v>431</v>
      </c>
      <c r="C130" s="30" t="str">
        <f t="shared" si="55"/>
        <v>3</v>
      </c>
      <c r="D130" s="30" t="str">
        <f t="shared" si="56"/>
        <v>32</v>
      </c>
      <c r="E130" s="26" t="str">
        <f t="shared" si="47"/>
        <v>323</v>
      </c>
      <c r="F130" s="26" t="s">
        <v>87</v>
      </c>
      <c r="G130" s="26" t="s">
        <v>226</v>
      </c>
      <c r="H130" s="26" t="s">
        <v>89</v>
      </c>
      <c r="I130" s="27">
        <v>500</v>
      </c>
      <c r="J130" s="27">
        <f t="shared" si="57"/>
        <v>9.2900000000000205</v>
      </c>
      <c r="K130" s="27">
        <v>490.71</v>
      </c>
      <c r="L130" s="27">
        <v>0</v>
      </c>
      <c r="M130" s="27">
        <v>9.2899999999999991</v>
      </c>
      <c r="N130" s="27">
        <v>0</v>
      </c>
      <c r="O130" s="27">
        <v>490.71</v>
      </c>
      <c r="P130" s="28">
        <v>1.9E-2</v>
      </c>
      <c r="Q130" s="27">
        <f t="shared" si="58"/>
        <v>9.2900000000000205</v>
      </c>
      <c r="R130" s="27"/>
      <c r="S130" s="27">
        <f t="shared" si="59"/>
        <v>9.2900000000000205</v>
      </c>
      <c r="T130" s="27">
        <f t="shared" si="60"/>
        <v>44.29</v>
      </c>
      <c r="U130" s="27">
        <v>44.29</v>
      </c>
      <c r="V130" s="27">
        <f t="shared" si="61"/>
        <v>0</v>
      </c>
      <c r="W130" s="27"/>
      <c r="X130" s="27">
        <f t="shared" si="62"/>
        <v>44.29</v>
      </c>
      <c r="Y130" s="27">
        <f t="shared" si="63"/>
        <v>0</v>
      </c>
      <c r="Z130" s="27"/>
      <c r="AF130" s="27">
        <v>44.29</v>
      </c>
    </row>
    <row r="131" spans="1:32" ht="20.100000000000001" customHeight="1" outlineLevel="1" x14ac:dyDescent="0.2">
      <c r="A131" s="26" t="s">
        <v>328</v>
      </c>
      <c r="B131" s="30">
        <v>431</v>
      </c>
      <c r="C131" s="30" t="str">
        <f t="shared" si="55"/>
        <v>3</v>
      </c>
      <c r="D131" s="30" t="str">
        <f t="shared" si="56"/>
        <v>32</v>
      </c>
      <c r="E131" s="26" t="str">
        <f t="shared" si="47"/>
        <v>323</v>
      </c>
      <c r="F131" s="26" t="s">
        <v>91</v>
      </c>
      <c r="G131" s="26" t="s">
        <v>227</v>
      </c>
      <c r="H131" s="26" t="s">
        <v>93</v>
      </c>
      <c r="I131" s="27">
        <v>700</v>
      </c>
      <c r="J131" s="27">
        <f t="shared" si="57"/>
        <v>0</v>
      </c>
      <c r="K131" s="27">
        <v>700</v>
      </c>
      <c r="L131" s="27">
        <v>0</v>
      </c>
      <c r="M131" s="27">
        <v>0</v>
      </c>
      <c r="N131" s="27">
        <v>0</v>
      </c>
      <c r="O131" s="27">
        <v>700</v>
      </c>
      <c r="P131" s="28">
        <v>0</v>
      </c>
      <c r="Q131" s="27">
        <f t="shared" si="58"/>
        <v>0</v>
      </c>
      <c r="R131" s="27"/>
      <c r="S131" s="27">
        <f t="shared" si="59"/>
        <v>0</v>
      </c>
      <c r="T131" s="27">
        <f t="shared" si="60"/>
        <v>0</v>
      </c>
      <c r="U131" s="27"/>
      <c r="V131" s="27">
        <f t="shared" si="61"/>
        <v>0</v>
      </c>
      <c r="W131" s="27"/>
      <c r="X131" s="27">
        <f t="shared" si="62"/>
        <v>0</v>
      </c>
      <c r="Y131" s="27">
        <f t="shared" si="63"/>
        <v>0</v>
      </c>
      <c r="Z131" s="27"/>
      <c r="AF131" s="27">
        <v>0</v>
      </c>
    </row>
    <row r="132" spans="1:32" ht="20.100000000000001" customHeight="1" outlineLevel="1" x14ac:dyDescent="0.2">
      <c r="A132" s="26" t="s">
        <v>328</v>
      </c>
      <c r="B132" s="30">
        <v>431</v>
      </c>
      <c r="C132" s="30" t="str">
        <f t="shared" si="55"/>
        <v>3</v>
      </c>
      <c r="D132" s="30" t="str">
        <f t="shared" si="56"/>
        <v>32</v>
      </c>
      <c r="E132" s="26" t="str">
        <f t="shared" si="47"/>
        <v>323</v>
      </c>
      <c r="F132" s="26" t="s">
        <v>97</v>
      </c>
      <c r="G132" s="26" t="s">
        <v>228</v>
      </c>
      <c r="H132" s="26" t="s">
        <v>99</v>
      </c>
      <c r="I132" s="27">
        <v>0</v>
      </c>
      <c r="J132" s="27">
        <f t="shared" si="57"/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8">
        <v>0</v>
      </c>
      <c r="Q132" s="27">
        <f t="shared" si="58"/>
        <v>0</v>
      </c>
      <c r="R132" s="27"/>
      <c r="S132" s="27">
        <f t="shared" si="59"/>
        <v>0</v>
      </c>
      <c r="T132" s="27">
        <f t="shared" si="60"/>
        <v>219.65</v>
      </c>
      <c r="U132" s="27">
        <v>219.65</v>
      </c>
      <c r="V132" s="27">
        <f t="shared" si="61"/>
        <v>0</v>
      </c>
      <c r="W132" s="27"/>
      <c r="X132" s="27">
        <f t="shared" si="62"/>
        <v>219.65</v>
      </c>
      <c r="Y132" s="27">
        <f t="shared" si="63"/>
        <v>0</v>
      </c>
      <c r="Z132" s="27"/>
      <c r="AF132" s="27">
        <v>219.65</v>
      </c>
    </row>
    <row r="133" spans="1:32" ht="20.100000000000001" customHeight="1" outlineLevel="1" x14ac:dyDescent="0.2">
      <c r="A133" s="26" t="s">
        <v>328</v>
      </c>
      <c r="B133" s="30">
        <v>431</v>
      </c>
      <c r="C133" s="30" t="str">
        <f t="shared" si="55"/>
        <v>3</v>
      </c>
      <c r="D133" s="30" t="str">
        <f t="shared" si="56"/>
        <v>32</v>
      </c>
      <c r="E133" s="26" t="str">
        <f t="shared" si="47"/>
        <v>323</v>
      </c>
      <c r="F133" s="26" t="s">
        <v>41</v>
      </c>
      <c r="G133" s="26" t="s">
        <v>229</v>
      </c>
      <c r="H133" s="26" t="s">
        <v>43</v>
      </c>
      <c r="I133" s="27">
        <v>22100</v>
      </c>
      <c r="J133" s="27">
        <f t="shared" si="57"/>
        <v>14297.42</v>
      </c>
      <c r="K133" s="27">
        <v>7802.58</v>
      </c>
      <c r="L133" s="27">
        <v>0</v>
      </c>
      <c r="M133" s="27">
        <v>14297.42</v>
      </c>
      <c r="N133" s="27">
        <v>0</v>
      </c>
      <c r="O133" s="27">
        <v>7802.58</v>
      </c>
      <c r="P133" s="28">
        <v>0.64700000000000002</v>
      </c>
      <c r="Q133" s="27">
        <f t="shared" si="58"/>
        <v>14297.42</v>
      </c>
      <c r="R133" s="27"/>
      <c r="S133" s="27">
        <f t="shared" si="59"/>
        <v>14297.42</v>
      </c>
      <c r="T133" s="27">
        <f t="shared" si="60"/>
        <v>28730.21</v>
      </c>
      <c r="U133" s="27">
        <v>28730.21</v>
      </c>
      <c r="V133" s="27">
        <f t="shared" si="61"/>
        <v>0</v>
      </c>
      <c r="W133" s="27"/>
      <c r="X133" s="27">
        <f t="shared" si="62"/>
        <v>28730.21</v>
      </c>
      <c r="Y133" s="27">
        <f t="shared" si="63"/>
        <v>0</v>
      </c>
      <c r="Z133" s="27"/>
      <c r="AF133" s="27">
        <v>28730.21</v>
      </c>
    </row>
    <row r="134" spans="1:32" ht="20.100000000000001" customHeight="1" outlineLevel="1" x14ac:dyDescent="0.2">
      <c r="A134" s="26" t="s">
        <v>328</v>
      </c>
      <c r="B134" s="30">
        <v>431</v>
      </c>
      <c r="C134" s="30" t="str">
        <f t="shared" si="55"/>
        <v>3</v>
      </c>
      <c r="D134" s="30" t="str">
        <f t="shared" si="56"/>
        <v>32</v>
      </c>
      <c r="E134" s="26" t="str">
        <f t="shared" si="47"/>
        <v>323</v>
      </c>
      <c r="F134" s="26" t="s">
        <v>104</v>
      </c>
      <c r="G134" s="26" t="s">
        <v>230</v>
      </c>
      <c r="H134" s="26" t="s">
        <v>106</v>
      </c>
      <c r="I134" s="27">
        <v>1000</v>
      </c>
      <c r="J134" s="27">
        <f t="shared" si="57"/>
        <v>0</v>
      </c>
      <c r="K134" s="27">
        <v>1000</v>
      </c>
      <c r="L134" s="27">
        <v>0</v>
      </c>
      <c r="M134" s="27">
        <v>0</v>
      </c>
      <c r="N134" s="27">
        <v>0</v>
      </c>
      <c r="O134" s="27">
        <v>1000</v>
      </c>
      <c r="P134" s="28">
        <v>0</v>
      </c>
      <c r="Q134" s="27">
        <f t="shared" si="58"/>
        <v>0</v>
      </c>
      <c r="R134" s="27"/>
      <c r="S134" s="27">
        <f t="shared" si="59"/>
        <v>0</v>
      </c>
      <c r="T134" s="27">
        <f t="shared" si="60"/>
        <v>2064.25</v>
      </c>
      <c r="U134" s="27">
        <v>2064.25</v>
      </c>
      <c r="V134" s="27">
        <f t="shared" si="61"/>
        <v>0</v>
      </c>
      <c r="W134" s="27"/>
      <c r="X134" s="27">
        <f t="shared" si="62"/>
        <v>2064.25</v>
      </c>
      <c r="Y134" s="27">
        <f t="shared" si="63"/>
        <v>0</v>
      </c>
      <c r="Z134" s="27"/>
      <c r="AF134" s="27">
        <v>2064.25</v>
      </c>
    </row>
    <row r="135" spans="1:32" ht="20.100000000000001" customHeight="1" outlineLevel="1" x14ac:dyDescent="0.2">
      <c r="A135" s="26" t="s">
        <v>328</v>
      </c>
      <c r="B135" s="30">
        <v>431</v>
      </c>
      <c r="C135" s="30" t="str">
        <f t="shared" si="55"/>
        <v>3</v>
      </c>
      <c r="D135" s="30" t="str">
        <f t="shared" si="56"/>
        <v>32</v>
      </c>
      <c r="E135" s="26" t="str">
        <f t="shared" si="47"/>
        <v>323</v>
      </c>
      <c r="F135" s="26" t="s">
        <v>126</v>
      </c>
      <c r="G135" s="26" t="s">
        <v>231</v>
      </c>
      <c r="H135" s="26" t="s">
        <v>128</v>
      </c>
      <c r="I135" s="27">
        <v>4000</v>
      </c>
      <c r="J135" s="27">
        <f t="shared" si="57"/>
        <v>1419.33</v>
      </c>
      <c r="K135" s="27">
        <v>2580.67</v>
      </c>
      <c r="L135" s="27">
        <v>0</v>
      </c>
      <c r="M135" s="27">
        <v>1419.33</v>
      </c>
      <c r="N135" s="27">
        <v>0</v>
      </c>
      <c r="O135" s="27">
        <v>2580.67</v>
      </c>
      <c r="P135" s="28">
        <v>0.35499999999999998</v>
      </c>
      <c r="Q135" s="27">
        <f t="shared" si="58"/>
        <v>1419.33</v>
      </c>
      <c r="R135" s="27"/>
      <c r="S135" s="27">
        <f t="shared" si="59"/>
        <v>1419.33</v>
      </c>
      <c r="T135" s="27">
        <f t="shared" si="60"/>
        <v>3418.16</v>
      </c>
      <c r="U135" s="27">
        <v>3418.16</v>
      </c>
      <c r="V135" s="27">
        <f t="shared" si="61"/>
        <v>0</v>
      </c>
      <c r="W135" s="27"/>
      <c r="X135" s="27">
        <f t="shared" si="62"/>
        <v>3418.16</v>
      </c>
      <c r="Y135" s="27">
        <f t="shared" si="63"/>
        <v>0</v>
      </c>
      <c r="Z135" s="27"/>
      <c r="AF135" s="27">
        <v>3418.16</v>
      </c>
    </row>
    <row r="136" spans="1:32" ht="20.100000000000001" customHeight="1" outlineLevel="1" x14ac:dyDescent="0.2">
      <c r="A136" s="26" t="s">
        <v>328</v>
      </c>
      <c r="B136" s="30">
        <v>431</v>
      </c>
      <c r="C136" s="30" t="str">
        <f t="shared" si="55"/>
        <v>3</v>
      </c>
      <c r="D136" s="30" t="str">
        <f t="shared" si="56"/>
        <v>32</v>
      </c>
      <c r="E136" s="26" t="str">
        <f t="shared" si="47"/>
        <v>329</v>
      </c>
      <c r="F136" s="26" t="s">
        <v>154</v>
      </c>
      <c r="G136" s="26" t="s">
        <v>232</v>
      </c>
      <c r="H136" s="26" t="s">
        <v>156</v>
      </c>
      <c r="I136" s="27">
        <v>3000</v>
      </c>
      <c r="J136" s="27">
        <f t="shared" si="57"/>
        <v>1164.58</v>
      </c>
      <c r="K136" s="27">
        <v>1835.42</v>
      </c>
      <c r="L136" s="27">
        <v>0</v>
      </c>
      <c r="M136" s="27">
        <v>1164.58</v>
      </c>
      <c r="N136" s="27">
        <v>0</v>
      </c>
      <c r="O136" s="27">
        <v>1835.42</v>
      </c>
      <c r="P136" s="28">
        <v>0.38800000000000001</v>
      </c>
      <c r="Q136" s="27">
        <f t="shared" si="58"/>
        <v>1164.58</v>
      </c>
      <c r="R136" s="27"/>
      <c r="S136" s="27">
        <f t="shared" si="59"/>
        <v>1164.58</v>
      </c>
      <c r="T136" s="27">
        <f t="shared" si="60"/>
        <v>2599.84</v>
      </c>
      <c r="U136" s="27">
        <v>2599.84</v>
      </c>
      <c r="V136" s="27">
        <f t="shared" si="61"/>
        <v>0</v>
      </c>
      <c r="W136" s="27"/>
      <c r="X136" s="27">
        <f t="shared" si="62"/>
        <v>2599.84</v>
      </c>
      <c r="Y136" s="27">
        <f t="shared" si="63"/>
        <v>0</v>
      </c>
      <c r="Z136" s="27"/>
      <c r="AA136" s="56" t="s">
        <v>354</v>
      </c>
      <c r="AB136" s="56" t="s">
        <v>353</v>
      </c>
      <c r="AF136" s="27">
        <v>2599.84</v>
      </c>
    </row>
    <row r="137" spans="1:32" ht="20.100000000000001" customHeight="1" x14ac:dyDescent="0.2">
      <c r="F137" s="216" t="s">
        <v>26</v>
      </c>
      <c r="G137" s="216"/>
      <c r="H137" s="216"/>
      <c r="I137" s="52">
        <f>SUMIFS(I138:I305,$A138:$A305,"A212402",$B138:$B305,"521")</f>
        <v>73100</v>
      </c>
      <c r="J137" s="52">
        <f t="shared" ref="J137:V137" si="64">SUMIFS(J138:J305,$A138:$A305,"A212402",$B138:$B305,"521")</f>
        <v>19280.669999999998</v>
      </c>
      <c r="K137" s="52">
        <f t="shared" si="64"/>
        <v>53819.33</v>
      </c>
      <c r="L137" s="52">
        <f t="shared" si="64"/>
        <v>0</v>
      </c>
      <c r="M137" s="52">
        <f t="shared" si="64"/>
        <v>19280.670000000002</v>
      </c>
      <c r="N137" s="52">
        <f t="shared" si="64"/>
        <v>0</v>
      </c>
      <c r="O137" s="52">
        <f t="shared" si="64"/>
        <v>53819.33</v>
      </c>
      <c r="P137" s="53">
        <v>0.26400000000000001</v>
      </c>
      <c r="Q137" s="52">
        <f t="shared" si="64"/>
        <v>19280.669999999998</v>
      </c>
      <c r="R137" s="52">
        <f t="shared" si="64"/>
        <v>0</v>
      </c>
      <c r="S137" s="52">
        <f t="shared" si="64"/>
        <v>19280.669999999998</v>
      </c>
      <c r="T137" s="52">
        <f>SUMIFS(T138:T305,$A138:$A305,"A212402",$B138:$B305,"521")</f>
        <v>70183.179999999993</v>
      </c>
      <c r="U137" s="52">
        <f t="shared" si="64"/>
        <v>70183.179999999993</v>
      </c>
      <c r="V137" s="52">
        <f t="shared" si="64"/>
        <v>0</v>
      </c>
      <c r="W137" s="52">
        <f>SUMIFS(W138:W305,$A138:$A305,"A212402",$B138:$B305,"521")</f>
        <v>-1433.53</v>
      </c>
      <c r="X137" s="52">
        <f>SUMIFS(X138:X305,$A138:$A305,"A212402",$B138:$B305,"521")</f>
        <v>68749.649999999994</v>
      </c>
      <c r="Y137" s="52">
        <f>SUMIFS(Y138:Y305,$A138:$A305,"A212402",$B138:$B305,"521")</f>
        <v>1433.53</v>
      </c>
      <c r="Z137" s="52"/>
      <c r="AA137" s="52">
        <f>SUMIFS(AA138:AA305,$A138:$A305,"A212402",$B138:$B305,"521")</f>
        <v>65022.73</v>
      </c>
      <c r="AB137" s="52">
        <f>SUMIFS(AB138:AB305,$A138:$A305,"A212402",$B138:$B305,"521")</f>
        <v>5160.45</v>
      </c>
      <c r="AF137" s="52">
        <v>70183.179999999993</v>
      </c>
    </row>
    <row r="138" spans="1:32" ht="20.100000000000001" customHeight="1" outlineLevel="1" x14ac:dyDescent="0.2">
      <c r="A138" s="26" t="s">
        <v>328</v>
      </c>
      <c r="B138" s="30">
        <v>521</v>
      </c>
      <c r="C138" s="30" t="str">
        <f t="shared" ref="C138:C154" si="65">LEFT(F138,1)</f>
        <v>3</v>
      </c>
      <c r="D138" s="30" t="str">
        <f t="shared" ref="D138:D154" si="66">LEFT(F138,2)</f>
        <v>32</v>
      </c>
      <c r="E138" s="26" t="str">
        <f t="shared" si="47"/>
        <v>321</v>
      </c>
      <c r="F138" s="26" t="s">
        <v>130</v>
      </c>
      <c r="G138" s="26" t="s">
        <v>233</v>
      </c>
      <c r="H138" s="26" t="s">
        <v>132</v>
      </c>
      <c r="I138" s="27">
        <v>6000</v>
      </c>
      <c r="J138" s="27">
        <f t="shared" ref="J138:J154" si="67">I138-K138</f>
        <v>1705.79</v>
      </c>
      <c r="K138" s="27">
        <v>4294.21</v>
      </c>
      <c r="L138" s="27">
        <v>0</v>
      </c>
      <c r="M138" s="27">
        <v>1705.79</v>
      </c>
      <c r="N138" s="27">
        <v>0</v>
      </c>
      <c r="O138" s="27">
        <v>4294.21</v>
      </c>
      <c r="P138" s="28">
        <v>0.28399999999999997</v>
      </c>
      <c r="Q138" s="27">
        <f t="shared" ref="Q138:Q154" si="68">J138</f>
        <v>1705.79</v>
      </c>
      <c r="R138" s="27"/>
      <c r="S138" s="27">
        <f t="shared" ref="S138:S154" si="69">R138+Q138</f>
        <v>1705.79</v>
      </c>
      <c r="T138" s="27">
        <f t="shared" si="60"/>
        <v>3575.79</v>
      </c>
      <c r="U138" s="27">
        <f t="shared" ref="U138:U154" si="70">AA138+AB138</f>
        <v>3575.79</v>
      </c>
      <c r="V138" s="27">
        <f t="shared" ref="V138:V154" si="71">T138-U138</f>
        <v>0</v>
      </c>
      <c r="W138" s="27"/>
      <c r="X138" s="27">
        <f t="shared" ref="X138:X154" si="72">W138+U138</f>
        <v>3575.79</v>
      </c>
      <c r="Y138" s="27">
        <f t="shared" ref="Y138:Y154" si="73">T138-X138</f>
        <v>0</v>
      </c>
      <c r="Z138" s="27"/>
      <c r="AA138" s="27">
        <v>3575.79</v>
      </c>
      <c r="AB138" s="27"/>
      <c r="AF138" s="27">
        <v>3575.79</v>
      </c>
    </row>
    <row r="139" spans="1:32" ht="20.100000000000001" customHeight="1" outlineLevel="1" x14ac:dyDescent="0.2">
      <c r="A139" s="26" t="s">
        <v>328</v>
      </c>
      <c r="B139" s="30">
        <v>521</v>
      </c>
      <c r="C139" s="30" t="str">
        <f t="shared" si="65"/>
        <v>3</v>
      </c>
      <c r="D139" s="30" t="str">
        <f t="shared" si="66"/>
        <v>32</v>
      </c>
      <c r="E139" s="26" t="str">
        <f t="shared" si="47"/>
        <v>321</v>
      </c>
      <c r="F139" s="26" t="s">
        <v>69</v>
      </c>
      <c r="G139" s="26" t="s">
        <v>234</v>
      </c>
      <c r="H139" s="26" t="s">
        <v>71</v>
      </c>
      <c r="I139" s="27">
        <v>4000</v>
      </c>
      <c r="J139" s="27">
        <f t="shared" si="67"/>
        <v>1425</v>
      </c>
      <c r="K139" s="27">
        <v>2575</v>
      </c>
      <c r="L139" s="27">
        <v>0</v>
      </c>
      <c r="M139" s="27">
        <v>1425</v>
      </c>
      <c r="N139" s="27">
        <v>0</v>
      </c>
      <c r="O139" s="27">
        <v>2575</v>
      </c>
      <c r="P139" s="28">
        <v>0.35599999999999998</v>
      </c>
      <c r="Q139" s="27">
        <f t="shared" si="68"/>
        <v>1425</v>
      </c>
      <c r="R139" s="27"/>
      <c r="S139" s="27">
        <f t="shared" si="69"/>
        <v>1425</v>
      </c>
      <c r="T139" s="27">
        <f t="shared" si="60"/>
        <v>1395</v>
      </c>
      <c r="U139" s="27">
        <f t="shared" si="70"/>
        <v>1395</v>
      </c>
      <c r="V139" s="27">
        <f t="shared" si="71"/>
        <v>0</v>
      </c>
      <c r="W139" s="27"/>
      <c r="X139" s="27">
        <f t="shared" si="72"/>
        <v>1395</v>
      </c>
      <c r="Y139" s="27">
        <f t="shared" si="73"/>
        <v>0</v>
      </c>
      <c r="Z139" s="27"/>
      <c r="AA139" s="27">
        <v>1395</v>
      </c>
      <c r="AB139" s="27"/>
      <c r="AF139" s="27">
        <v>1395</v>
      </c>
    </row>
    <row r="140" spans="1:32" ht="20.100000000000001" customHeight="1" outlineLevel="1" x14ac:dyDescent="0.2">
      <c r="A140" s="26" t="s">
        <v>328</v>
      </c>
      <c r="B140" s="30">
        <v>521</v>
      </c>
      <c r="C140" s="30" t="str">
        <f t="shared" si="65"/>
        <v>3</v>
      </c>
      <c r="D140" s="30" t="str">
        <f t="shared" si="66"/>
        <v>32</v>
      </c>
      <c r="E140" s="26" t="str">
        <f t="shared" si="47"/>
        <v>322</v>
      </c>
      <c r="F140" s="26" t="s">
        <v>72</v>
      </c>
      <c r="G140" s="26" t="s">
        <v>235</v>
      </c>
      <c r="H140" s="26" t="s">
        <v>74</v>
      </c>
      <c r="I140" s="27">
        <v>0</v>
      </c>
      <c r="J140" s="27">
        <f t="shared" si="67"/>
        <v>221.98</v>
      </c>
      <c r="K140" s="27">
        <v>-221.98</v>
      </c>
      <c r="L140" s="27">
        <v>0</v>
      </c>
      <c r="M140" s="27">
        <v>221.98</v>
      </c>
      <c r="N140" s="27">
        <v>0</v>
      </c>
      <c r="O140" s="27">
        <v>-221.98</v>
      </c>
      <c r="P140" s="28">
        <v>0</v>
      </c>
      <c r="Q140" s="27">
        <f t="shared" si="68"/>
        <v>221.98</v>
      </c>
      <c r="R140" s="27"/>
      <c r="S140" s="27">
        <f t="shared" si="69"/>
        <v>221.98</v>
      </c>
      <c r="T140" s="27">
        <f t="shared" si="60"/>
        <v>0</v>
      </c>
      <c r="U140" s="27">
        <f t="shared" si="70"/>
        <v>0</v>
      </c>
      <c r="V140" s="27">
        <f t="shared" si="71"/>
        <v>0</v>
      </c>
      <c r="W140" s="27"/>
      <c r="X140" s="27">
        <f t="shared" si="72"/>
        <v>0</v>
      </c>
      <c r="Y140" s="27">
        <f t="shared" si="73"/>
        <v>0</v>
      </c>
      <c r="Z140" s="27"/>
      <c r="AA140" s="27"/>
      <c r="AB140" s="27"/>
      <c r="AF140" s="27">
        <v>0</v>
      </c>
    </row>
    <row r="141" spans="1:32" ht="20.100000000000001" customHeight="1" outlineLevel="1" x14ac:dyDescent="0.2">
      <c r="A141" s="26" t="s">
        <v>328</v>
      </c>
      <c r="B141" s="30">
        <v>521</v>
      </c>
      <c r="C141" s="30" t="str">
        <f t="shared" si="65"/>
        <v>3</v>
      </c>
      <c r="D141" s="30" t="str">
        <f t="shared" si="66"/>
        <v>32</v>
      </c>
      <c r="E141" s="26" t="str">
        <f t="shared" si="47"/>
        <v>322</v>
      </c>
      <c r="F141" s="26" t="s">
        <v>75</v>
      </c>
      <c r="G141" s="26" t="s">
        <v>236</v>
      </c>
      <c r="H141" s="26" t="s">
        <v>77</v>
      </c>
      <c r="I141" s="27">
        <v>2000</v>
      </c>
      <c r="J141" s="27">
        <f t="shared" si="67"/>
        <v>0</v>
      </c>
      <c r="K141" s="27">
        <v>2000</v>
      </c>
      <c r="L141" s="27">
        <v>0</v>
      </c>
      <c r="M141" s="27">
        <v>0</v>
      </c>
      <c r="N141" s="27">
        <v>0</v>
      </c>
      <c r="O141" s="27">
        <v>2000</v>
      </c>
      <c r="P141" s="28">
        <v>0</v>
      </c>
      <c r="Q141" s="27">
        <f t="shared" si="68"/>
        <v>0</v>
      </c>
      <c r="R141" s="27"/>
      <c r="S141" s="27">
        <f t="shared" si="69"/>
        <v>0</v>
      </c>
      <c r="T141" s="27">
        <f t="shared" si="60"/>
        <v>636.55999999999995</v>
      </c>
      <c r="U141" s="27">
        <f t="shared" si="70"/>
        <v>636.55999999999995</v>
      </c>
      <c r="V141" s="27">
        <f t="shared" si="71"/>
        <v>0</v>
      </c>
      <c r="W141" s="27">
        <v>-1433.53</v>
      </c>
      <c r="X141" s="27">
        <f t="shared" si="72"/>
        <v>-796.97</v>
      </c>
      <c r="Y141" s="27">
        <f t="shared" si="73"/>
        <v>1433.53</v>
      </c>
      <c r="Z141" s="27"/>
      <c r="AA141" s="27">
        <v>636.55999999999995</v>
      </c>
      <c r="AB141" s="27"/>
      <c r="AF141" s="27">
        <v>636.55999999999995</v>
      </c>
    </row>
    <row r="142" spans="1:32" ht="20.100000000000001" customHeight="1" outlineLevel="1" x14ac:dyDescent="0.2">
      <c r="A142" s="26" t="s">
        <v>328</v>
      </c>
      <c r="B142" s="30">
        <v>521</v>
      </c>
      <c r="C142" s="30" t="str">
        <f t="shared" si="65"/>
        <v>3</v>
      </c>
      <c r="D142" s="30" t="str">
        <f t="shared" si="66"/>
        <v>32</v>
      </c>
      <c r="E142" s="26" t="str">
        <f t="shared" si="47"/>
        <v>322</v>
      </c>
      <c r="F142" s="26" t="s">
        <v>78</v>
      </c>
      <c r="G142" s="26" t="s">
        <v>237</v>
      </c>
      <c r="H142" s="26" t="s">
        <v>80</v>
      </c>
      <c r="I142" s="27">
        <v>0</v>
      </c>
      <c r="J142" s="27">
        <f t="shared" si="67"/>
        <v>0</v>
      </c>
      <c r="K142" s="27">
        <v>0</v>
      </c>
      <c r="L142" s="27">
        <v>0</v>
      </c>
      <c r="M142" s="27">
        <v>0</v>
      </c>
      <c r="N142" s="27">
        <v>0</v>
      </c>
      <c r="O142" s="27">
        <v>0</v>
      </c>
      <c r="P142" s="28">
        <v>0</v>
      </c>
      <c r="Q142" s="27">
        <f t="shared" si="68"/>
        <v>0</v>
      </c>
      <c r="R142" s="27"/>
      <c r="S142" s="27">
        <f t="shared" si="69"/>
        <v>0</v>
      </c>
      <c r="T142" s="27">
        <f t="shared" si="60"/>
        <v>364.8</v>
      </c>
      <c r="U142" s="27">
        <f t="shared" si="70"/>
        <v>364.8</v>
      </c>
      <c r="V142" s="27">
        <f t="shared" si="71"/>
        <v>0</v>
      </c>
      <c r="W142" s="27"/>
      <c r="X142" s="27">
        <f t="shared" si="72"/>
        <v>364.8</v>
      </c>
      <c r="Y142" s="27">
        <f t="shared" si="73"/>
        <v>0</v>
      </c>
      <c r="Z142" s="27"/>
      <c r="AA142" s="27">
        <v>364.8</v>
      </c>
      <c r="AB142" s="27"/>
      <c r="AF142" s="27">
        <v>364.8</v>
      </c>
    </row>
    <row r="143" spans="1:32" ht="20.100000000000001" customHeight="1" outlineLevel="1" x14ac:dyDescent="0.2">
      <c r="A143" s="26" t="s">
        <v>328</v>
      </c>
      <c r="B143" s="30">
        <v>521</v>
      </c>
      <c r="C143" s="30" t="str">
        <f t="shared" si="65"/>
        <v>3</v>
      </c>
      <c r="D143" s="30" t="str">
        <f t="shared" si="66"/>
        <v>32</v>
      </c>
      <c r="E143" s="26" t="str">
        <f t="shared" si="47"/>
        <v>322</v>
      </c>
      <c r="F143" s="26" t="s">
        <v>81</v>
      </c>
      <c r="G143" s="26" t="s">
        <v>238</v>
      </c>
      <c r="H143" s="26" t="s">
        <v>83</v>
      </c>
      <c r="I143" s="27">
        <v>0</v>
      </c>
      <c r="J143" s="27">
        <f t="shared" si="67"/>
        <v>0</v>
      </c>
      <c r="K143" s="27">
        <v>0</v>
      </c>
      <c r="L143" s="27">
        <v>0</v>
      </c>
      <c r="M143" s="27">
        <v>0</v>
      </c>
      <c r="N143" s="27">
        <v>0</v>
      </c>
      <c r="O143" s="27">
        <v>0</v>
      </c>
      <c r="P143" s="28">
        <v>0</v>
      </c>
      <c r="Q143" s="27">
        <f t="shared" si="68"/>
        <v>0</v>
      </c>
      <c r="R143" s="27"/>
      <c r="S143" s="27">
        <f t="shared" si="69"/>
        <v>0</v>
      </c>
      <c r="T143" s="27">
        <f t="shared" si="60"/>
        <v>0</v>
      </c>
      <c r="U143" s="27">
        <f t="shared" si="70"/>
        <v>0</v>
      </c>
      <c r="V143" s="27">
        <f t="shared" si="71"/>
        <v>0</v>
      </c>
      <c r="W143" s="27"/>
      <c r="X143" s="27">
        <f t="shared" si="72"/>
        <v>0</v>
      </c>
      <c r="Y143" s="27">
        <f t="shared" si="73"/>
        <v>0</v>
      </c>
      <c r="Z143" s="27"/>
      <c r="AA143" s="27"/>
      <c r="AB143" s="27"/>
      <c r="AF143" s="27">
        <v>0</v>
      </c>
    </row>
    <row r="144" spans="1:32" ht="20.100000000000001" customHeight="1" outlineLevel="1" x14ac:dyDescent="0.2">
      <c r="A144" s="26" t="s">
        <v>328</v>
      </c>
      <c r="B144" s="30">
        <v>521</v>
      </c>
      <c r="C144" s="30" t="str">
        <f t="shared" si="65"/>
        <v>3</v>
      </c>
      <c r="D144" s="30" t="str">
        <f t="shared" si="66"/>
        <v>32</v>
      </c>
      <c r="E144" s="26" t="str">
        <f t="shared" si="47"/>
        <v>322</v>
      </c>
      <c r="F144" s="26" t="s">
        <v>84</v>
      </c>
      <c r="G144" s="26" t="s">
        <v>239</v>
      </c>
      <c r="H144" s="26" t="s">
        <v>86</v>
      </c>
      <c r="I144" s="27">
        <v>0</v>
      </c>
      <c r="J144" s="27">
        <f t="shared" si="67"/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8">
        <v>0</v>
      </c>
      <c r="Q144" s="27">
        <f t="shared" si="68"/>
        <v>0</v>
      </c>
      <c r="R144" s="27"/>
      <c r="S144" s="27">
        <f t="shared" si="69"/>
        <v>0</v>
      </c>
      <c r="T144" s="27">
        <f t="shared" si="60"/>
        <v>0</v>
      </c>
      <c r="U144" s="27">
        <f t="shared" si="70"/>
        <v>0</v>
      </c>
      <c r="V144" s="27">
        <f t="shared" si="71"/>
        <v>0</v>
      </c>
      <c r="W144" s="27"/>
      <c r="X144" s="27">
        <f t="shared" si="72"/>
        <v>0</v>
      </c>
      <c r="Y144" s="27">
        <f t="shared" si="73"/>
        <v>0</v>
      </c>
      <c r="Z144" s="27"/>
      <c r="AA144" s="27"/>
      <c r="AB144" s="27"/>
      <c r="AF144" s="27">
        <v>0</v>
      </c>
    </row>
    <row r="145" spans="1:32" ht="20.100000000000001" customHeight="1" outlineLevel="1" x14ac:dyDescent="0.2">
      <c r="A145" s="26" t="s">
        <v>328</v>
      </c>
      <c r="B145" s="30">
        <v>521</v>
      </c>
      <c r="C145" s="30" t="str">
        <f t="shared" si="65"/>
        <v>3</v>
      </c>
      <c r="D145" s="30" t="str">
        <f t="shared" si="66"/>
        <v>32</v>
      </c>
      <c r="E145" s="26" t="str">
        <f t="shared" si="47"/>
        <v>323</v>
      </c>
      <c r="F145" s="26" t="s">
        <v>87</v>
      </c>
      <c r="G145" s="26" t="s">
        <v>240</v>
      </c>
      <c r="H145" s="26" t="s">
        <v>89</v>
      </c>
      <c r="I145" s="27">
        <v>0</v>
      </c>
      <c r="J145" s="27">
        <f t="shared" si="67"/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8">
        <v>0</v>
      </c>
      <c r="Q145" s="27">
        <f t="shared" si="68"/>
        <v>0</v>
      </c>
      <c r="R145" s="27"/>
      <c r="S145" s="27">
        <f t="shared" si="69"/>
        <v>0</v>
      </c>
      <c r="T145" s="27">
        <f t="shared" si="60"/>
        <v>0</v>
      </c>
      <c r="U145" s="27">
        <f t="shared" si="70"/>
        <v>0</v>
      </c>
      <c r="V145" s="27">
        <f t="shared" si="71"/>
        <v>0</v>
      </c>
      <c r="W145" s="27"/>
      <c r="X145" s="27">
        <f t="shared" si="72"/>
        <v>0</v>
      </c>
      <c r="Y145" s="27">
        <f t="shared" si="73"/>
        <v>0</v>
      </c>
      <c r="Z145" s="27"/>
      <c r="AA145" s="27"/>
      <c r="AB145" s="27"/>
      <c r="AF145" s="27">
        <v>0</v>
      </c>
    </row>
    <row r="146" spans="1:32" ht="20.100000000000001" customHeight="1" outlineLevel="1" x14ac:dyDescent="0.2">
      <c r="A146" s="26" t="s">
        <v>328</v>
      </c>
      <c r="B146" s="30">
        <v>521</v>
      </c>
      <c r="C146" s="30" t="str">
        <f t="shared" si="65"/>
        <v>3</v>
      </c>
      <c r="D146" s="30" t="str">
        <f t="shared" si="66"/>
        <v>32</v>
      </c>
      <c r="E146" s="26" t="str">
        <f t="shared" si="47"/>
        <v>323</v>
      </c>
      <c r="F146" s="26" t="s">
        <v>91</v>
      </c>
      <c r="G146" s="26" t="s">
        <v>241</v>
      </c>
      <c r="H146" s="26" t="s">
        <v>93</v>
      </c>
      <c r="I146" s="27">
        <v>1800</v>
      </c>
      <c r="J146" s="27">
        <f t="shared" si="67"/>
        <v>64.799999999999955</v>
      </c>
      <c r="K146" s="27">
        <v>1735.2</v>
      </c>
      <c r="L146" s="27">
        <v>0</v>
      </c>
      <c r="M146" s="27">
        <v>64.8</v>
      </c>
      <c r="N146" s="27">
        <v>0</v>
      </c>
      <c r="O146" s="27">
        <v>1735.2</v>
      </c>
      <c r="P146" s="28">
        <v>3.5999999999999997E-2</v>
      </c>
      <c r="Q146" s="27">
        <f t="shared" si="68"/>
        <v>64.799999999999955</v>
      </c>
      <c r="R146" s="27"/>
      <c r="S146" s="27">
        <f t="shared" si="69"/>
        <v>64.799999999999955</v>
      </c>
      <c r="T146" s="27">
        <f t="shared" si="60"/>
        <v>0</v>
      </c>
      <c r="U146" s="27">
        <f t="shared" si="70"/>
        <v>0</v>
      </c>
      <c r="V146" s="27">
        <f t="shared" si="71"/>
        <v>0</v>
      </c>
      <c r="W146" s="27"/>
      <c r="X146" s="27">
        <f t="shared" si="72"/>
        <v>0</v>
      </c>
      <c r="Y146" s="27">
        <f t="shared" si="73"/>
        <v>0</v>
      </c>
      <c r="Z146" s="27"/>
      <c r="AA146" s="27"/>
      <c r="AB146" s="27"/>
      <c r="AF146" s="27">
        <v>0</v>
      </c>
    </row>
    <row r="147" spans="1:32" ht="20.100000000000001" customHeight="1" outlineLevel="1" x14ac:dyDescent="0.2">
      <c r="A147" s="26" t="s">
        <v>328</v>
      </c>
      <c r="B147" s="30">
        <v>521</v>
      </c>
      <c r="C147" s="30" t="str">
        <f t="shared" si="65"/>
        <v>3</v>
      </c>
      <c r="D147" s="30" t="str">
        <f t="shared" si="66"/>
        <v>32</v>
      </c>
      <c r="E147" s="26" t="str">
        <f t="shared" si="47"/>
        <v>323</v>
      </c>
      <c r="F147" s="26" t="s">
        <v>97</v>
      </c>
      <c r="G147" s="26" t="s">
        <v>242</v>
      </c>
      <c r="H147" s="26" t="s">
        <v>99</v>
      </c>
      <c r="I147" s="27">
        <v>0</v>
      </c>
      <c r="J147" s="27">
        <f t="shared" si="67"/>
        <v>0</v>
      </c>
      <c r="K147" s="27">
        <v>0</v>
      </c>
      <c r="L147" s="27">
        <v>0</v>
      </c>
      <c r="M147" s="27">
        <v>0</v>
      </c>
      <c r="N147" s="27">
        <v>0</v>
      </c>
      <c r="O147" s="27">
        <v>0</v>
      </c>
      <c r="P147" s="28">
        <v>0</v>
      </c>
      <c r="Q147" s="27">
        <f t="shared" si="68"/>
        <v>0</v>
      </c>
      <c r="R147" s="27"/>
      <c r="S147" s="27">
        <f t="shared" si="69"/>
        <v>0</v>
      </c>
      <c r="T147" s="27">
        <f t="shared" si="60"/>
        <v>0</v>
      </c>
      <c r="U147" s="27">
        <f t="shared" si="70"/>
        <v>0</v>
      </c>
      <c r="V147" s="27">
        <f t="shared" si="71"/>
        <v>0</v>
      </c>
      <c r="W147" s="27"/>
      <c r="X147" s="27">
        <f t="shared" si="72"/>
        <v>0</v>
      </c>
      <c r="Y147" s="27">
        <f t="shared" si="73"/>
        <v>0</v>
      </c>
      <c r="Z147" s="27"/>
      <c r="AA147" s="27"/>
      <c r="AB147" s="27"/>
      <c r="AF147" s="27">
        <v>0</v>
      </c>
    </row>
    <row r="148" spans="1:32" ht="20.100000000000001" customHeight="1" outlineLevel="1" x14ac:dyDescent="0.2">
      <c r="A148" s="26" t="s">
        <v>328</v>
      </c>
      <c r="B148" s="30">
        <v>521</v>
      </c>
      <c r="C148" s="30" t="str">
        <f t="shared" si="65"/>
        <v>3</v>
      </c>
      <c r="D148" s="30" t="str">
        <f t="shared" si="66"/>
        <v>32</v>
      </c>
      <c r="E148" s="26" t="str">
        <f t="shared" si="47"/>
        <v>323</v>
      </c>
      <c r="F148" s="26" t="s">
        <v>41</v>
      </c>
      <c r="G148" s="26" t="s">
        <v>243</v>
      </c>
      <c r="H148" s="26" t="s">
        <v>43</v>
      </c>
      <c r="I148" s="27">
        <v>28500</v>
      </c>
      <c r="J148" s="27">
        <f t="shared" si="67"/>
        <v>10336.419999999998</v>
      </c>
      <c r="K148" s="27">
        <v>18163.580000000002</v>
      </c>
      <c r="L148" s="27">
        <v>0</v>
      </c>
      <c r="M148" s="27">
        <v>10336.42</v>
      </c>
      <c r="N148" s="27">
        <v>0</v>
      </c>
      <c r="O148" s="27">
        <v>18163.580000000002</v>
      </c>
      <c r="P148" s="28">
        <v>0.36299999999999999</v>
      </c>
      <c r="Q148" s="27">
        <f t="shared" si="68"/>
        <v>10336.419999999998</v>
      </c>
      <c r="R148" s="27"/>
      <c r="S148" s="27">
        <f t="shared" si="69"/>
        <v>10336.419999999998</v>
      </c>
      <c r="T148" s="27">
        <f t="shared" si="60"/>
        <v>27515.66</v>
      </c>
      <c r="U148" s="27">
        <f t="shared" si="70"/>
        <v>27515.66</v>
      </c>
      <c r="V148" s="27">
        <f t="shared" si="71"/>
        <v>0</v>
      </c>
      <c r="W148" s="27"/>
      <c r="X148" s="27">
        <f t="shared" si="72"/>
        <v>27515.66</v>
      </c>
      <c r="Y148" s="27">
        <f t="shared" si="73"/>
        <v>0</v>
      </c>
      <c r="Z148" s="27"/>
      <c r="AA148" s="27">
        <v>26500.66</v>
      </c>
      <c r="AB148" s="27">
        <v>1015</v>
      </c>
      <c r="AF148" s="27">
        <v>27515.66</v>
      </c>
    </row>
    <row r="149" spans="1:32" ht="20.100000000000001" customHeight="1" outlineLevel="1" x14ac:dyDescent="0.2">
      <c r="A149" s="26" t="s">
        <v>328</v>
      </c>
      <c r="B149" s="30">
        <v>521</v>
      </c>
      <c r="C149" s="30" t="str">
        <f t="shared" si="65"/>
        <v>3</v>
      </c>
      <c r="D149" s="30" t="str">
        <f t="shared" si="66"/>
        <v>32</v>
      </c>
      <c r="E149" s="26" t="str">
        <f t="shared" si="47"/>
        <v>323</v>
      </c>
      <c r="F149" s="26" t="s">
        <v>104</v>
      </c>
      <c r="G149" s="26" t="s">
        <v>244</v>
      </c>
      <c r="H149" s="26" t="s">
        <v>106</v>
      </c>
      <c r="I149" s="27">
        <v>13500</v>
      </c>
      <c r="J149" s="27">
        <f t="shared" si="67"/>
        <v>82.5</v>
      </c>
      <c r="K149" s="27">
        <v>13417.5</v>
      </c>
      <c r="L149" s="27">
        <v>0</v>
      </c>
      <c r="M149" s="27">
        <v>82.5</v>
      </c>
      <c r="N149" s="27">
        <v>0</v>
      </c>
      <c r="O149" s="27">
        <v>13417.5</v>
      </c>
      <c r="P149" s="28">
        <v>6.0000000000000001E-3</v>
      </c>
      <c r="Q149" s="27">
        <f t="shared" si="68"/>
        <v>82.5</v>
      </c>
      <c r="R149" s="27"/>
      <c r="S149" s="27">
        <f t="shared" si="69"/>
        <v>82.5</v>
      </c>
      <c r="T149" s="27">
        <f t="shared" si="60"/>
        <v>14082.5</v>
      </c>
      <c r="U149" s="27">
        <f t="shared" si="70"/>
        <v>14082.5</v>
      </c>
      <c r="V149" s="27">
        <f t="shared" si="71"/>
        <v>0</v>
      </c>
      <c r="W149" s="27"/>
      <c r="X149" s="27">
        <f t="shared" si="72"/>
        <v>14082.5</v>
      </c>
      <c r="Y149" s="27">
        <f t="shared" si="73"/>
        <v>0</v>
      </c>
      <c r="Z149" s="27"/>
      <c r="AA149" s="27">
        <v>14082.5</v>
      </c>
      <c r="AB149" s="27"/>
      <c r="AF149" s="27">
        <v>14082.5</v>
      </c>
    </row>
    <row r="150" spans="1:32" ht="20.100000000000001" customHeight="1" outlineLevel="1" x14ac:dyDescent="0.2">
      <c r="A150" s="26" t="s">
        <v>328</v>
      </c>
      <c r="B150" s="30">
        <v>521</v>
      </c>
      <c r="C150" s="30" t="str">
        <f t="shared" si="65"/>
        <v>3</v>
      </c>
      <c r="D150" s="30" t="str">
        <f t="shared" si="66"/>
        <v>32</v>
      </c>
      <c r="E150" s="26" t="str">
        <f t="shared" si="47"/>
        <v>323</v>
      </c>
      <c r="F150" s="26" t="s">
        <v>126</v>
      </c>
      <c r="G150" s="26" t="s">
        <v>245</v>
      </c>
      <c r="H150" s="26" t="s">
        <v>128</v>
      </c>
      <c r="I150" s="27">
        <v>11000</v>
      </c>
      <c r="J150" s="27">
        <f t="shared" si="67"/>
        <v>3269.46</v>
      </c>
      <c r="K150" s="27">
        <v>7730.54</v>
      </c>
      <c r="L150" s="27">
        <v>0</v>
      </c>
      <c r="M150" s="27">
        <v>3269.46</v>
      </c>
      <c r="N150" s="27">
        <v>0</v>
      </c>
      <c r="O150" s="27">
        <v>7730.54</v>
      </c>
      <c r="P150" s="28">
        <v>0.29699999999999999</v>
      </c>
      <c r="Q150" s="27">
        <f t="shared" si="68"/>
        <v>3269.46</v>
      </c>
      <c r="R150" s="27"/>
      <c r="S150" s="27">
        <f t="shared" si="69"/>
        <v>3269.46</v>
      </c>
      <c r="T150" s="27">
        <f t="shared" si="60"/>
        <v>18570.39</v>
      </c>
      <c r="U150" s="27">
        <f t="shared" si="70"/>
        <v>18570.39</v>
      </c>
      <c r="V150" s="27">
        <f t="shared" si="71"/>
        <v>0</v>
      </c>
      <c r="W150" s="27"/>
      <c r="X150" s="27">
        <f t="shared" si="72"/>
        <v>18570.39</v>
      </c>
      <c r="Y150" s="27">
        <f t="shared" si="73"/>
        <v>0</v>
      </c>
      <c r="Z150" s="27"/>
      <c r="AA150" s="27">
        <v>14449.94</v>
      </c>
      <c r="AB150" s="27">
        <v>4120.45</v>
      </c>
      <c r="AF150" s="27">
        <v>18570.39</v>
      </c>
    </row>
    <row r="151" spans="1:32" ht="20.100000000000001" customHeight="1" outlineLevel="1" x14ac:dyDescent="0.2">
      <c r="A151" s="26" t="s">
        <v>328</v>
      </c>
      <c r="B151" s="30">
        <v>521</v>
      </c>
      <c r="C151" s="30" t="str">
        <f t="shared" si="65"/>
        <v>3</v>
      </c>
      <c r="D151" s="30" t="str">
        <f t="shared" si="66"/>
        <v>32</v>
      </c>
      <c r="E151" s="26" t="str">
        <f t="shared" si="47"/>
        <v>324</v>
      </c>
      <c r="F151" s="26" t="s">
        <v>150</v>
      </c>
      <c r="G151" s="26" t="s">
        <v>246</v>
      </c>
      <c r="H151" s="26" t="s">
        <v>152</v>
      </c>
      <c r="I151" s="27">
        <v>1000</v>
      </c>
      <c r="J151" s="27">
        <f t="shared" si="67"/>
        <v>0</v>
      </c>
      <c r="K151" s="27">
        <v>1000</v>
      </c>
      <c r="L151" s="27">
        <v>0</v>
      </c>
      <c r="M151" s="27">
        <v>0</v>
      </c>
      <c r="N151" s="27">
        <v>0</v>
      </c>
      <c r="O151" s="27">
        <v>1000</v>
      </c>
      <c r="P151" s="28">
        <v>0</v>
      </c>
      <c r="Q151" s="27">
        <f t="shared" si="68"/>
        <v>0</v>
      </c>
      <c r="R151" s="27"/>
      <c r="S151" s="27">
        <f t="shared" si="69"/>
        <v>0</v>
      </c>
      <c r="T151" s="27">
        <f t="shared" si="60"/>
        <v>407.3</v>
      </c>
      <c r="U151" s="27">
        <f t="shared" si="70"/>
        <v>407.3</v>
      </c>
      <c r="V151" s="27">
        <f t="shared" si="71"/>
        <v>0</v>
      </c>
      <c r="W151" s="27"/>
      <c r="X151" s="27">
        <f t="shared" si="72"/>
        <v>407.3</v>
      </c>
      <c r="Y151" s="27">
        <f t="shared" si="73"/>
        <v>0</v>
      </c>
      <c r="Z151" s="27"/>
      <c r="AA151" s="27">
        <v>407.3</v>
      </c>
      <c r="AB151" s="27"/>
      <c r="AF151" s="27">
        <v>407.3</v>
      </c>
    </row>
    <row r="152" spans="1:32" ht="20.100000000000001" customHeight="1" outlineLevel="1" x14ac:dyDescent="0.2">
      <c r="A152" s="26" t="s">
        <v>328</v>
      </c>
      <c r="B152" s="30">
        <v>521</v>
      </c>
      <c r="C152" s="30" t="str">
        <f t="shared" si="65"/>
        <v>3</v>
      </c>
      <c r="D152" s="30" t="str">
        <f t="shared" si="66"/>
        <v>32</v>
      </c>
      <c r="E152" s="26" t="str">
        <f t="shared" si="47"/>
        <v>329</v>
      </c>
      <c r="F152" s="26" t="s">
        <v>154</v>
      </c>
      <c r="G152" s="26" t="s">
        <v>247</v>
      </c>
      <c r="H152" s="26" t="s">
        <v>156</v>
      </c>
      <c r="I152" s="27">
        <v>3300</v>
      </c>
      <c r="J152" s="27">
        <f t="shared" si="67"/>
        <v>174.7199999999998</v>
      </c>
      <c r="K152" s="27">
        <v>3125.28</v>
      </c>
      <c r="L152" s="27">
        <v>0</v>
      </c>
      <c r="M152" s="27">
        <v>174.72</v>
      </c>
      <c r="N152" s="27">
        <v>0</v>
      </c>
      <c r="O152" s="27">
        <v>3125.28</v>
      </c>
      <c r="P152" s="28">
        <v>5.2999999999999999E-2</v>
      </c>
      <c r="Q152" s="27">
        <f t="shared" si="68"/>
        <v>174.7199999999998</v>
      </c>
      <c r="R152" s="27"/>
      <c r="S152" s="27">
        <f t="shared" si="69"/>
        <v>174.7199999999998</v>
      </c>
      <c r="T152" s="27">
        <f t="shared" si="60"/>
        <v>1635.18</v>
      </c>
      <c r="U152" s="27">
        <f t="shared" si="70"/>
        <v>1635.18</v>
      </c>
      <c r="V152" s="27">
        <f t="shared" si="71"/>
        <v>0</v>
      </c>
      <c r="W152" s="27"/>
      <c r="X152" s="27">
        <f t="shared" si="72"/>
        <v>1635.18</v>
      </c>
      <c r="Y152" s="27">
        <f t="shared" si="73"/>
        <v>0</v>
      </c>
      <c r="Z152" s="27"/>
      <c r="AA152" s="27">
        <v>1610.18</v>
      </c>
      <c r="AB152" s="27">
        <v>25</v>
      </c>
      <c r="AF152" s="27">
        <v>1635.18</v>
      </c>
    </row>
    <row r="153" spans="1:32" ht="20.100000000000001" customHeight="1" outlineLevel="1" x14ac:dyDescent="0.2">
      <c r="A153" s="26" t="s">
        <v>328</v>
      </c>
      <c r="B153" s="30">
        <v>521</v>
      </c>
      <c r="C153" s="30" t="str">
        <f t="shared" si="65"/>
        <v>3</v>
      </c>
      <c r="D153" s="30" t="str">
        <f t="shared" si="66"/>
        <v>32</v>
      </c>
      <c r="E153" s="26" t="str">
        <f t="shared" si="47"/>
        <v>329</v>
      </c>
      <c r="F153" s="26" t="s">
        <v>113</v>
      </c>
      <c r="G153" s="26" t="s">
        <v>248</v>
      </c>
      <c r="H153" s="26" t="s">
        <v>115</v>
      </c>
      <c r="I153" s="27">
        <v>2000</v>
      </c>
      <c r="J153" s="27">
        <f t="shared" si="67"/>
        <v>2000</v>
      </c>
      <c r="K153" s="27">
        <v>0</v>
      </c>
      <c r="L153" s="27">
        <v>0</v>
      </c>
      <c r="M153" s="27">
        <v>2000</v>
      </c>
      <c r="N153" s="27">
        <v>0</v>
      </c>
      <c r="O153" s="27">
        <v>0</v>
      </c>
      <c r="P153" s="28">
        <v>1</v>
      </c>
      <c r="Q153" s="27">
        <f t="shared" si="68"/>
        <v>2000</v>
      </c>
      <c r="R153" s="27"/>
      <c r="S153" s="27">
        <f t="shared" si="69"/>
        <v>2000</v>
      </c>
      <c r="T153" s="27">
        <f t="shared" si="60"/>
        <v>2000</v>
      </c>
      <c r="U153" s="27">
        <f t="shared" si="70"/>
        <v>2000</v>
      </c>
      <c r="V153" s="27">
        <f t="shared" si="71"/>
        <v>0</v>
      </c>
      <c r="W153" s="27"/>
      <c r="X153" s="27">
        <f t="shared" si="72"/>
        <v>2000</v>
      </c>
      <c r="Y153" s="27">
        <f t="shared" si="73"/>
        <v>0</v>
      </c>
      <c r="Z153" s="27"/>
      <c r="AA153" s="27">
        <v>2000</v>
      </c>
      <c r="AB153" s="27"/>
      <c r="AF153" s="27">
        <v>2000</v>
      </c>
    </row>
    <row r="154" spans="1:32" ht="20.100000000000001" customHeight="1" outlineLevel="1" x14ac:dyDescent="0.2">
      <c r="A154" s="26" t="s">
        <v>328</v>
      </c>
      <c r="B154" s="30">
        <v>521</v>
      </c>
      <c r="C154" s="30" t="str">
        <f t="shared" si="65"/>
        <v>3</v>
      </c>
      <c r="D154" s="30" t="str">
        <f t="shared" si="66"/>
        <v>32</v>
      </c>
      <c r="E154" s="26" t="str">
        <f t="shared" si="47"/>
        <v>329</v>
      </c>
      <c r="F154" s="26" t="s">
        <v>159</v>
      </c>
      <c r="G154" s="26" t="s">
        <v>249</v>
      </c>
      <c r="H154" s="26" t="s">
        <v>161</v>
      </c>
      <c r="I154" s="27">
        <v>0</v>
      </c>
      <c r="J154" s="27">
        <f t="shared" si="67"/>
        <v>0</v>
      </c>
      <c r="K154" s="27">
        <v>0</v>
      </c>
      <c r="L154" s="27">
        <v>0</v>
      </c>
      <c r="M154" s="27">
        <v>0</v>
      </c>
      <c r="N154" s="27">
        <v>0</v>
      </c>
      <c r="O154" s="27">
        <v>0</v>
      </c>
      <c r="P154" s="28">
        <v>0</v>
      </c>
      <c r="Q154" s="27">
        <f t="shared" si="68"/>
        <v>0</v>
      </c>
      <c r="R154" s="27"/>
      <c r="S154" s="27">
        <f t="shared" si="69"/>
        <v>0</v>
      </c>
      <c r="T154" s="27">
        <f t="shared" si="60"/>
        <v>0</v>
      </c>
      <c r="U154" s="27">
        <f t="shared" si="70"/>
        <v>0</v>
      </c>
      <c r="V154" s="27">
        <f t="shared" si="71"/>
        <v>0</v>
      </c>
      <c r="W154" s="27"/>
      <c r="X154" s="27">
        <f t="shared" si="72"/>
        <v>0</v>
      </c>
      <c r="Y154" s="27">
        <f t="shared" si="73"/>
        <v>0</v>
      </c>
      <c r="Z154" s="27"/>
      <c r="AA154" s="27"/>
      <c r="AB154" s="27"/>
      <c r="AF154" s="27">
        <v>0</v>
      </c>
    </row>
    <row r="155" spans="1:32" ht="20.100000000000001" customHeight="1" x14ac:dyDescent="0.2">
      <c r="F155" s="216" t="s">
        <v>34</v>
      </c>
      <c r="G155" s="216"/>
      <c r="H155" s="216"/>
      <c r="I155" s="52">
        <f>SUMIFS(I156:I323,$A156:$A323,"A212402",$B156:$B323,"541")</f>
        <v>2900</v>
      </c>
      <c r="J155" s="52">
        <f t="shared" ref="J155:V155" si="74">SUMIFS(J156:J323,$A156:$A323,"A212402",$B156:$B323,"541")</f>
        <v>1124.8800000000001</v>
      </c>
      <c r="K155" s="52">
        <f t="shared" si="74"/>
        <v>1775.12</v>
      </c>
      <c r="L155" s="52">
        <f t="shared" si="74"/>
        <v>0</v>
      </c>
      <c r="M155" s="52">
        <f t="shared" si="74"/>
        <v>1124.8800000000001</v>
      </c>
      <c r="N155" s="52">
        <f t="shared" si="74"/>
        <v>0</v>
      </c>
      <c r="O155" s="52">
        <f t="shared" si="74"/>
        <v>1875.12</v>
      </c>
      <c r="P155" s="53">
        <v>0.38800000000000001</v>
      </c>
      <c r="Q155" s="52">
        <f t="shared" si="74"/>
        <v>1124.8800000000001</v>
      </c>
      <c r="R155" s="52">
        <f t="shared" si="74"/>
        <v>0</v>
      </c>
      <c r="S155" s="52">
        <f t="shared" si="74"/>
        <v>1124.8800000000001</v>
      </c>
      <c r="T155" s="52">
        <f>SUMIFS(T156:T323,$A156:$A323,"A212402",$B156:$B323,"541")</f>
        <v>2163.17</v>
      </c>
      <c r="U155" s="52">
        <f t="shared" si="74"/>
        <v>2163.17</v>
      </c>
      <c r="V155" s="52">
        <f t="shared" si="74"/>
        <v>0</v>
      </c>
      <c r="W155" s="52">
        <f>SUMIFS(W156:W323,$A156:$A323,"A212402",$B156:$B323,"541")</f>
        <v>0</v>
      </c>
      <c r="X155" s="52">
        <f>SUMIFS(X156:X323,$A156:$A323,"A212402",$B156:$B323,"541")</f>
        <v>2163.17</v>
      </c>
      <c r="Y155" s="52">
        <f>SUMIFS(Y156:Y323,$A156:$A323,"A212402",$B156:$B323,"541")</f>
        <v>0</v>
      </c>
      <c r="Z155" s="52"/>
      <c r="AA155" s="52">
        <f>SUMIFS(AA156:AA323,$A156:$A323,"A212402",$B156:$B323,"541")</f>
        <v>1139.42</v>
      </c>
      <c r="AB155" s="52">
        <f>SUMIFS(AB156:AB323,$A156:$A323,"A212402",$B156:$B323,"541")</f>
        <v>1023.75</v>
      </c>
      <c r="AF155" s="52">
        <v>2163.17</v>
      </c>
    </row>
    <row r="156" spans="1:32" ht="20.100000000000001" customHeight="1" outlineLevel="1" x14ac:dyDescent="0.2">
      <c r="A156" s="26" t="s">
        <v>328</v>
      </c>
      <c r="B156" s="30">
        <v>541</v>
      </c>
      <c r="C156" s="30" t="str">
        <f t="shared" ref="C156:C162" si="75">LEFT(F156,1)</f>
        <v>3</v>
      </c>
      <c r="D156" s="30" t="str">
        <f t="shared" ref="D156:D162" si="76">LEFT(F156,2)</f>
        <v>32</v>
      </c>
      <c r="E156" s="26" t="str">
        <f t="shared" si="47"/>
        <v>322</v>
      </c>
      <c r="F156" s="26" t="s">
        <v>72</v>
      </c>
      <c r="G156" s="26" t="s">
        <v>250</v>
      </c>
      <c r="H156" s="26" t="s">
        <v>74</v>
      </c>
      <c r="I156" s="27">
        <v>100</v>
      </c>
      <c r="J156" s="27">
        <f t="shared" ref="J156:J162" si="77">I156-K156</f>
        <v>10.5</v>
      </c>
      <c r="K156" s="27">
        <v>89.5</v>
      </c>
      <c r="L156" s="27">
        <v>0</v>
      </c>
      <c r="M156" s="27">
        <v>10.5</v>
      </c>
      <c r="N156" s="27">
        <v>0</v>
      </c>
      <c r="O156" s="27">
        <v>89.5</v>
      </c>
      <c r="P156" s="28">
        <v>0.105</v>
      </c>
      <c r="Q156" s="27">
        <f t="shared" ref="Q156:Q162" si="78">J156</f>
        <v>10.5</v>
      </c>
      <c r="R156" s="27"/>
      <c r="S156" s="27">
        <f t="shared" ref="S156:S162" si="79">R156+Q156</f>
        <v>10.5</v>
      </c>
      <c r="T156" s="27">
        <f t="shared" si="60"/>
        <v>10.5</v>
      </c>
      <c r="U156" s="27">
        <f t="shared" ref="U156:U162" si="80">AA156+AB156</f>
        <v>10.5</v>
      </c>
      <c r="V156" s="27">
        <f t="shared" ref="V156:V162" si="81">T156-U156</f>
        <v>0</v>
      </c>
      <c r="W156" s="27"/>
      <c r="X156" s="27">
        <f t="shared" ref="X156:X162" si="82">W156+U156</f>
        <v>10.5</v>
      </c>
      <c r="Y156" s="27">
        <f t="shared" ref="Y156:Y162" si="83">T156-X156</f>
        <v>0</v>
      </c>
      <c r="Z156" s="27"/>
      <c r="AA156" s="27">
        <v>10.5</v>
      </c>
      <c r="AB156" s="27"/>
      <c r="AF156" s="27">
        <v>10.5</v>
      </c>
    </row>
    <row r="157" spans="1:32" ht="20.100000000000001" customHeight="1" outlineLevel="1" x14ac:dyDescent="0.2">
      <c r="A157" s="26" t="s">
        <v>328</v>
      </c>
      <c r="B157" s="30">
        <v>541</v>
      </c>
      <c r="C157" s="30" t="str">
        <f t="shared" si="75"/>
        <v>3</v>
      </c>
      <c r="D157" s="30" t="str">
        <f t="shared" si="76"/>
        <v>32</v>
      </c>
      <c r="E157" s="26" t="str">
        <f t="shared" si="47"/>
        <v>322</v>
      </c>
      <c r="F157" s="26" t="s">
        <v>75</v>
      </c>
      <c r="G157" s="26" t="s">
        <v>251</v>
      </c>
      <c r="H157" s="26" t="s">
        <v>77</v>
      </c>
      <c r="I157" s="27">
        <v>400</v>
      </c>
      <c r="J157" s="27">
        <f t="shared" si="77"/>
        <v>39.990000000000009</v>
      </c>
      <c r="K157" s="27">
        <v>360.01</v>
      </c>
      <c r="L157" s="27">
        <v>0</v>
      </c>
      <c r="M157" s="27">
        <v>39.99</v>
      </c>
      <c r="N157" s="27">
        <v>0</v>
      </c>
      <c r="O157" s="27">
        <v>360.01</v>
      </c>
      <c r="P157" s="28">
        <v>0.1</v>
      </c>
      <c r="Q157" s="27">
        <f t="shared" si="78"/>
        <v>39.990000000000009</v>
      </c>
      <c r="R157" s="27"/>
      <c r="S157" s="27">
        <f t="shared" si="79"/>
        <v>39.990000000000009</v>
      </c>
      <c r="T157" s="27">
        <f t="shared" si="60"/>
        <v>7.98</v>
      </c>
      <c r="U157" s="27">
        <f t="shared" si="80"/>
        <v>7.98</v>
      </c>
      <c r="V157" s="27">
        <f t="shared" si="81"/>
        <v>0</v>
      </c>
      <c r="W157" s="27"/>
      <c r="X157" s="27">
        <f t="shared" si="82"/>
        <v>7.98</v>
      </c>
      <c r="Y157" s="27">
        <f t="shared" si="83"/>
        <v>0</v>
      </c>
      <c r="Z157" s="27"/>
      <c r="AA157" s="27">
        <v>7.98</v>
      </c>
      <c r="AB157" s="27"/>
      <c r="AF157" s="27">
        <v>7.98</v>
      </c>
    </row>
    <row r="158" spans="1:32" ht="20.100000000000001" customHeight="1" outlineLevel="1" x14ac:dyDescent="0.2">
      <c r="A158" s="26" t="s">
        <v>328</v>
      </c>
      <c r="B158" s="30">
        <v>541</v>
      </c>
      <c r="C158" s="30" t="str">
        <f t="shared" si="75"/>
        <v>3</v>
      </c>
      <c r="D158" s="30" t="str">
        <f t="shared" si="76"/>
        <v>32</v>
      </c>
      <c r="E158" s="26" t="str">
        <f t="shared" si="47"/>
        <v>322</v>
      </c>
      <c r="F158" s="26" t="s">
        <v>81</v>
      </c>
      <c r="G158" s="26" t="s">
        <v>252</v>
      </c>
      <c r="H158" s="26" t="s">
        <v>83</v>
      </c>
      <c r="I158" s="27">
        <v>100</v>
      </c>
      <c r="J158" s="27">
        <f t="shared" si="77"/>
        <v>0</v>
      </c>
      <c r="K158" s="27">
        <v>100</v>
      </c>
      <c r="L158" s="27">
        <v>0</v>
      </c>
      <c r="M158" s="27">
        <v>0</v>
      </c>
      <c r="N158" s="27">
        <v>0</v>
      </c>
      <c r="O158" s="27">
        <v>100</v>
      </c>
      <c r="P158" s="28">
        <v>0</v>
      </c>
      <c r="Q158" s="27">
        <f t="shared" si="78"/>
        <v>0</v>
      </c>
      <c r="R158" s="27"/>
      <c r="S158" s="27">
        <f t="shared" si="79"/>
        <v>0</v>
      </c>
      <c r="T158" s="27">
        <f t="shared" si="60"/>
        <v>0</v>
      </c>
      <c r="U158" s="27">
        <f t="shared" si="80"/>
        <v>0</v>
      </c>
      <c r="V158" s="27">
        <f t="shared" si="81"/>
        <v>0</v>
      </c>
      <c r="W158" s="27"/>
      <c r="X158" s="27">
        <f t="shared" si="82"/>
        <v>0</v>
      </c>
      <c r="Y158" s="27">
        <f t="shared" si="83"/>
        <v>0</v>
      </c>
      <c r="Z158" s="27"/>
      <c r="AA158" s="27"/>
      <c r="AB158" s="27"/>
      <c r="AF158" s="27">
        <v>0</v>
      </c>
    </row>
    <row r="159" spans="1:32" ht="20.100000000000001" customHeight="1" outlineLevel="1" x14ac:dyDescent="0.2">
      <c r="A159" s="26" t="s">
        <v>328</v>
      </c>
      <c r="B159" s="30">
        <v>541</v>
      </c>
      <c r="C159" s="30" t="str">
        <f>LEFT(F159,1)</f>
        <v>3</v>
      </c>
      <c r="D159" s="30" t="str">
        <f>LEFT(F159,2)</f>
        <v>32</v>
      </c>
      <c r="E159" s="26" t="str">
        <f>LEFT(F159,3)</f>
        <v>322</v>
      </c>
      <c r="F159" s="65">
        <v>3225</v>
      </c>
      <c r="G159" s="64" t="s">
        <v>252</v>
      </c>
      <c r="H159" s="26" t="s">
        <v>355</v>
      </c>
      <c r="I159" s="27"/>
      <c r="J159" s="27">
        <f t="shared" si="77"/>
        <v>0</v>
      </c>
      <c r="K159" s="27"/>
      <c r="L159" s="27"/>
      <c r="M159" s="27"/>
      <c r="N159" s="27"/>
      <c r="O159" s="27">
        <v>100</v>
      </c>
      <c r="P159" s="28">
        <v>0</v>
      </c>
      <c r="Q159" s="27">
        <f>J159</f>
        <v>0</v>
      </c>
      <c r="R159" s="27"/>
      <c r="S159" s="27">
        <f t="shared" si="79"/>
        <v>0</v>
      </c>
      <c r="T159" s="27">
        <f t="shared" si="60"/>
        <v>46.55</v>
      </c>
      <c r="U159" s="27">
        <f t="shared" si="80"/>
        <v>46.55</v>
      </c>
      <c r="V159" s="27">
        <f t="shared" si="81"/>
        <v>0</v>
      </c>
      <c r="W159" s="27"/>
      <c r="X159" s="27">
        <f t="shared" si="82"/>
        <v>46.55</v>
      </c>
      <c r="Y159" s="27">
        <f t="shared" si="83"/>
        <v>0</v>
      </c>
      <c r="Z159" s="27"/>
      <c r="AA159" s="27">
        <v>46.55</v>
      </c>
      <c r="AB159" s="27"/>
      <c r="AF159" s="27">
        <v>46.55</v>
      </c>
    </row>
    <row r="160" spans="1:32" ht="20.100000000000001" customHeight="1" outlineLevel="1" x14ac:dyDescent="0.2">
      <c r="A160" s="26" t="s">
        <v>328</v>
      </c>
      <c r="B160" s="30">
        <v>541</v>
      </c>
      <c r="C160" s="30" t="str">
        <f t="shared" si="75"/>
        <v>3</v>
      </c>
      <c r="D160" s="30" t="str">
        <f t="shared" si="76"/>
        <v>32</v>
      </c>
      <c r="E160" s="26" t="str">
        <f t="shared" si="47"/>
        <v>323</v>
      </c>
      <c r="F160" s="26" t="s">
        <v>91</v>
      </c>
      <c r="G160" s="26" t="s">
        <v>253</v>
      </c>
      <c r="H160" s="26" t="s">
        <v>93</v>
      </c>
      <c r="I160" s="27">
        <v>800</v>
      </c>
      <c r="J160" s="27">
        <f t="shared" si="77"/>
        <v>0</v>
      </c>
      <c r="K160" s="27">
        <v>800</v>
      </c>
      <c r="L160" s="27">
        <v>0</v>
      </c>
      <c r="M160" s="27">
        <v>0</v>
      </c>
      <c r="N160" s="27">
        <v>0</v>
      </c>
      <c r="O160" s="27">
        <v>800</v>
      </c>
      <c r="P160" s="28">
        <v>0</v>
      </c>
      <c r="Q160" s="27">
        <f t="shared" si="78"/>
        <v>0</v>
      </c>
      <c r="R160" s="27"/>
      <c r="S160" s="27">
        <f t="shared" si="79"/>
        <v>0</v>
      </c>
      <c r="T160" s="27">
        <f t="shared" si="60"/>
        <v>1023.75</v>
      </c>
      <c r="U160" s="27">
        <f t="shared" si="80"/>
        <v>1023.75</v>
      </c>
      <c r="V160" s="27">
        <f t="shared" si="81"/>
        <v>0</v>
      </c>
      <c r="W160" s="27"/>
      <c r="X160" s="27">
        <f t="shared" si="82"/>
        <v>1023.75</v>
      </c>
      <c r="Y160" s="27">
        <f t="shared" si="83"/>
        <v>0</v>
      </c>
      <c r="Z160" s="27"/>
      <c r="AA160" s="27"/>
      <c r="AB160" s="27">
        <v>1023.75</v>
      </c>
      <c r="AF160" s="27">
        <v>1023.75</v>
      </c>
    </row>
    <row r="161" spans="1:32" ht="20.100000000000001" customHeight="1" outlineLevel="1" x14ac:dyDescent="0.2">
      <c r="A161" s="26" t="s">
        <v>328</v>
      </c>
      <c r="B161" s="30">
        <v>541</v>
      </c>
      <c r="C161" s="30" t="str">
        <f t="shared" si="75"/>
        <v>3</v>
      </c>
      <c r="D161" s="30" t="str">
        <f t="shared" si="76"/>
        <v>32</v>
      </c>
      <c r="E161" s="26" t="str">
        <f t="shared" si="47"/>
        <v>323</v>
      </c>
      <c r="F161" s="26" t="s">
        <v>41</v>
      </c>
      <c r="G161" s="26" t="s">
        <v>254</v>
      </c>
      <c r="H161" s="26" t="s">
        <v>43</v>
      </c>
      <c r="I161" s="27">
        <v>1100</v>
      </c>
      <c r="J161" s="27">
        <f t="shared" si="77"/>
        <v>730.64</v>
      </c>
      <c r="K161" s="27">
        <v>369.36</v>
      </c>
      <c r="L161" s="27">
        <v>0</v>
      </c>
      <c r="M161" s="27">
        <v>730.64</v>
      </c>
      <c r="N161" s="27">
        <v>0</v>
      </c>
      <c r="O161" s="27">
        <v>369.36</v>
      </c>
      <c r="P161" s="28">
        <v>0.66400000000000003</v>
      </c>
      <c r="Q161" s="27">
        <f t="shared" si="78"/>
        <v>730.64</v>
      </c>
      <c r="R161" s="27"/>
      <c r="S161" s="27">
        <f t="shared" si="79"/>
        <v>730.64</v>
      </c>
      <c r="T161" s="27">
        <f t="shared" si="60"/>
        <v>730.64</v>
      </c>
      <c r="U161" s="27">
        <f t="shared" si="80"/>
        <v>730.64</v>
      </c>
      <c r="V161" s="27">
        <f t="shared" si="81"/>
        <v>0</v>
      </c>
      <c r="W161" s="27"/>
      <c r="X161" s="27">
        <f t="shared" si="82"/>
        <v>730.64</v>
      </c>
      <c r="Y161" s="27">
        <f t="shared" si="83"/>
        <v>0</v>
      </c>
      <c r="Z161" s="27"/>
      <c r="AA161" s="27">
        <v>730.64</v>
      </c>
      <c r="AB161" s="27"/>
      <c r="AF161" s="27">
        <v>730.64</v>
      </c>
    </row>
    <row r="162" spans="1:32" ht="20.100000000000001" customHeight="1" outlineLevel="1" x14ac:dyDescent="0.2">
      <c r="A162" s="26" t="s">
        <v>328</v>
      </c>
      <c r="B162" s="30">
        <v>541</v>
      </c>
      <c r="C162" s="30" t="str">
        <f t="shared" si="75"/>
        <v>3</v>
      </c>
      <c r="D162" s="30" t="str">
        <f t="shared" si="76"/>
        <v>32</v>
      </c>
      <c r="E162" s="26" t="str">
        <f t="shared" si="47"/>
        <v>323</v>
      </c>
      <c r="F162" s="26" t="s">
        <v>126</v>
      </c>
      <c r="G162" s="26" t="s">
        <v>255</v>
      </c>
      <c r="H162" s="26" t="s">
        <v>128</v>
      </c>
      <c r="I162" s="27">
        <v>400</v>
      </c>
      <c r="J162" s="27">
        <f t="shared" si="77"/>
        <v>343.75</v>
      </c>
      <c r="K162" s="27">
        <v>56.25</v>
      </c>
      <c r="L162" s="27">
        <v>0</v>
      </c>
      <c r="M162" s="27">
        <v>343.75</v>
      </c>
      <c r="N162" s="27">
        <v>0</v>
      </c>
      <c r="O162" s="27">
        <v>56.25</v>
      </c>
      <c r="P162" s="28">
        <v>0.85899999999999999</v>
      </c>
      <c r="Q162" s="27">
        <f t="shared" si="78"/>
        <v>343.75</v>
      </c>
      <c r="R162" s="27"/>
      <c r="S162" s="27">
        <f t="shared" si="79"/>
        <v>343.75</v>
      </c>
      <c r="T162" s="27">
        <f t="shared" si="60"/>
        <v>343.75</v>
      </c>
      <c r="U162" s="27">
        <f t="shared" si="80"/>
        <v>343.75</v>
      </c>
      <c r="V162" s="27">
        <f t="shared" si="81"/>
        <v>0</v>
      </c>
      <c r="W162" s="27"/>
      <c r="X162" s="27">
        <f t="shared" si="82"/>
        <v>343.75</v>
      </c>
      <c r="Y162" s="27">
        <f t="shared" si="83"/>
        <v>0</v>
      </c>
      <c r="Z162" s="27"/>
      <c r="AA162" s="27">
        <v>343.75</v>
      </c>
      <c r="AB162" s="27"/>
      <c r="AF162" s="27">
        <v>343.75</v>
      </c>
    </row>
    <row r="163" spans="1:32" ht="35.1" customHeight="1" x14ac:dyDescent="0.2">
      <c r="F163" s="222" t="s">
        <v>256</v>
      </c>
      <c r="G163" s="222"/>
      <c r="H163" s="222"/>
      <c r="I163" s="39">
        <f>SUM(I164:I164)</f>
        <v>0</v>
      </c>
      <c r="J163" s="39">
        <f t="shared" ref="J163:Y163" si="84">SUM(J164:J164)</f>
        <v>0</v>
      </c>
      <c r="K163" s="39">
        <f t="shared" si="84"/>
        <v>0</v>
      </c>
      <c r="L163" s="39">
        <f t="shared" si="84"/>
        <v>0</v>
      </c>
      <c r="M163" s="39">
        <f t="shared" si="84"/>
        <v>0</v>
      </c>
      <c r="N163" s="39">
        <f t="shared" si="84"/>
        <v>0</v>
      </c>
      <c r="O163" s="39">
        <f t="shared" si="84"/>
        <v>0</v>
      </c>
      <c r="P163" s="40">
        <v>0</v>
      </c>
      <c r="Q163" s="39">
        <f t="shared" si="84"/>
        <v>0</v>
      </c>
      <c r="R163" s="39">
        <f t="shared" si="84"/>
        <v>0</v>
      </c>
      <c r="S163" s="39">
        <f t="shared" si="84"/>
        <v>0</v>
      </c>
      <c r="T163" s="39">
        <f t="shared" si="84"/>
        <v>0</v>
      </c>
      <c r="U163" s="39">
        <f t="shared" si="84"/>
        <v>0</v>
      </c>
      <c r="V163" s="39">
        <f t="shared" si="84"/>
        <v>0</v>
      </c>
      <c r="W163" s="39">
        <f>SUM(W164:W164)</f>
        <v>0</v>
      </c>
      <c r="X163" s="39">
        <f t="shared" si="84"/>
        <v>0</v>
      </c>
      <c r="Y163" s="39">
        <f t="shared" si="84"/>
        <v>0</v>
      </c>
      <c r="Z163" s="39"/>
      <c r="AF163" s="39">
        <v>0</v>
      </c>
    </row>
    <row r="164" spans="1:32" ht="20.100000000000001" customHeight="1" x14ac:dyDescent="0.2">
      <c r="F164" s="216" t="s">
        <v>56</v>
      </c>
      <c r="G164" s="216"/>
      <c r="H164" s="216"/>
      <c r="I164" s="52">
        <f>SUMIFS(I165:I331,$A165:$A331,"A212403",$B165:$B331,"112")</f>
        <v>0</v>
      </c>
      <c r="J164" s="52">
        <v>0</v>
      </c>
      <c r="K164" s="52">
        <v>0</v>
      </c>
      <c r="L164" s="52">
        <v>0</v>
      </c>
      <c r="M164" s="52">
        <v>0</v>
      </c>
      <c r="N164" s="52">
        <v>0</v>
      </c>
      <c r="O164" s="52">
        <v>0</v>
      </c>
      <c r="P164" s="53">
        <v>0</v>
      </c>
      <c r="Q164" s="52">
        <v>0</v>
      </c>
      <c r="R164" s="52">
        <v>0</v>
      </c>
      <c r="S164" s="52">
        <v>0</v>
      </c>
      <c r="T164" s="52">
        <v>0</v>
      </c>
      <c r="U164" s="52">
        <v>0</v>
      </c>
      <c r="V164" s="52">
        <v>0</v>
      </c>
      <c r="W164" s="52">
        <v>0</v>
      </c>
      <c r="X164" s="52">
        <v>0</v>
      </c>
      <c r="Y164" s="52">
        <v>0</v>
      </c>
      <c r="Z164" s="52"/>
      <c r="AF164" s="52">
        <v>0</v>
      </c>
    </row>
    <row r="165" spans="1:32" ht="20.100000000000001" customHeight="1" outlineLevel="1" x14ac:dyDescent="0.2">
      <c r="A165" s="26" t="s">
        <v>329</v>
      </c>
      <c r="B165" s="30">
        <v>112</v>
      </c>
      <c r="C165" s="30" t="str">
        <f>LEFT(F165,1)</f>
        <v>3</v>
      </c>
      <c r="D165" s="30" t="str">
        <f>LEFT(F165,2)</f>
        <v>32</v>
      </c>
      <c r="E165" s="26" t="str">
        <f>LEFT(F165,3)</f>
        <v>321</v>
      </c>
      <c r="F165" s="26" t="s">
        <v>130</v>
      </c>
      <c r="G165" s="26" t="s">
        <v>257</v>
      </c>
      <c r="H165" s="26" t="s">
        <v>132</v>
      </c>
      <c r="I165" s="27">
        <v>0</v>
      </c>
      <c r="J165" s="27">
        <f>I165-K165</f>
        <v>0</v>
      </c>
      <c r="K165" s="27">
        <v>0</v>
      </c>
      <c r="L165" s="27">
        <v>0</v>
      </c>
      <c r="M165" s="27">
        <v>0</v>
      </c>
      <c r="N165" s="27">
        <v>0</v>
      </c>
      <c r="O165" s="27">
        <v>0</v>
      </c>
      <c r="P165" s="28">
        <v>0</v>
      </c>
      <c r="Q165" s="27">
        <f>J165</f>
        <v>0</v>
      </c>
      <c r="R165" s="27"/>
      <c r="S165" s="27">
        <f>R165+Q165</f>
        <v>0</v>
      </c>
      <c r="T165" s="27">
        <f>U165</f>
        <v>0</v>
      </c>
      <c r="U165" s="27"/>
      <c r="V165" s="27">
        <f>T165-U165</f>
        <v>0</v>
      </c>
      <c r="W165" s="27"/>
      <c r="X165" s="27">
        <f>W165+U165</f>
        <v>0</v>
      </c>
      <c r="Y165" s="27">
        <f>T165-X165</f>
        <v>0</v>
      </c>
      <c r="Z165" s="27"/>
      <c r="AF165" s="27">
        <v>0</v>
      </c>
    </row>
    <row r="166" spans="1:32" ht="35.1" customHeight="1" x14ac:dyDescent="0.2">
      <c r="F166" s="222" t="s">
        <v>258</v>
      </c>
      <c r="G166" s="222"/>
      <c r="H166" s="222"/>
      <c r="I166" s="39">
        <f>SUM(I167:I167)</f>
        <v>185500</v>
      </c>
      <c r="J166" s="39">
        <f t="shared" ref="J166:Y166" si="85">SUM(J167:J167)</f>
        <v>97034.17</v>
      </c>
      <c r="K166" s="39">
        <f t="shared" si="85"/>
        <v>88465.83</v>
      </c>
      <c r="L166" s="39">
        <f t="shared" si="85"/>
        <v>0</v>
      </c>
      <c r="M166" s="39">
        <f t="shared" si="85"/>
        <v>97034.17</v>
      </c>
      <c r="N166" s="39">
        <f t="shared" si="85"/>
        <v>0</v>
      </c>
      <c r="O166" s="39">
        <f t="shared" si="85"/>
        <v>88465.83</v>
      </c>
      <c r="P166" s="40">
        <v>0.52300000000000002</v>
      </c>
      <c r="Q166" s="39">
        <f t="shared" si="85"/>
        <v>97034.17</v>
      </c>
      <c r="R166" s="39">
        <f t="shared" si="85"/>
        <v>88465.83</v>
      </c>
      <c r="S166" s="39">
        <f t="shared" si="85"/>
        <v>185500</v>
      </c>
      <c r="T166" s="39">
        <f t="shared" si="85"/>
        <v>185500</v>
      </c>
      <c r="U166" s="39">
        <f t="shared" si="85"/>
        <v>185500</v>
      </c>
      <c r="V166" s="39">
        <f t="shared" si="85"/>
        <v>0</v>
      </c>
      <c r="W166" s="39">
        <f>SUM(W167:W167)</f>
        <v>0</v>
      </c>
      <c r="X166" s="39">
        <f t="shared" si="85"/>
        <v>185500</v>
      </c>
      <c r="Y166" s="39">
        <f t="shared" si="85"/>
        <v>0</v>
      </c>
      <c r="Z166" s="39"/>
      <c r="AF166" s="39">
        <v>185500</v>
      </c>
    </row>
    <row r="167" spans="1:32" ht="20.100000000000001" customHeight="1" x14ac:dyDescent="0.2">
      <c r="F167" s="216" t="s">
        <v>56</v>
      </c>
      <c r="G167" s="216"/>
      <c r="H167" s="216"/>
      <c r="I167" s="52">
        <f>SUMIFS(I168:I334,$A168:$A334,"A212404",$B168:$B334,"112")</f>
        <v>185500</v>
      </c>
      <c r="J167" s="52">
        <f t="shared" ref="J167:V167" si="86">SUMIFS(J168:J334,$A168:$A334,"A212404",$B168:$B334,"112")</f>
        <v>97034.17</v>
      </c>
      <c r="K167" s="52">
        <f t="shared" si="86"/>
        <v>88465.83</v>
      </c>
      <c r="L167" s="52">
        <f t="shared" si="86"/>
        <v>0</v>
      </c>
      <c r="M167" s="52">
        <f t="shared" si="86"/>
        <v>97034.17</v>
      </c>
      <c r="N167" s="52">
        <f t="shared" si="86"/>
        <v>0</v>
      </c>
      <c r="O167" s="52">
        <f t="shared" si="86"/>
        <v>88465.83</v>
      </c>
      <c r="P167" s="53">
        <v>0.52300000000000002</v>
      </c>
      <c r="Q167" s="52">
        <f t="shared" si="86"/>
        <v>97034.17</v>
      </c>
      <c r="R167" s="52">
        <f t="shared" si="86"/>
        <v>88465.83</v>
      </c>
      <c r="S167" s="52">
        <f t="shared" si="86"/>
        <v>185500</v>
      </c>
      <c r="T167" s="52">
        <f>SUMIFS(T168:T334,$A168:$A334,"A212404",$B168:$B334,"112")</f>
        <v>185500</v>
      </c>
      <c r="U167" s="52">
        <f t="shared" si="86"/>
        <v>185500</v>
      </c>
      <c r="V167" s="52">
        <f t="shared" si="86"/>
        <v>0</v>
      </c>
      <c r="W167" s="52">
        <f>SUMIFS(W168:W334,$A168:$A334,"A212404",$B168:$B334,"112")</f>
        <v>0</v>
      </c>
      <c r="X167" s="52">
        <f>SUMIFS(X168:X334,$A168:$A334,"A212404",$B168:$B334,"112")</f>
        <v>185500</v>
      </c>
      <c r="Y167" s="52">
        <f>SUMIFS(Y168:Y334,$A168:$A334,"A212404",$B168:$B334,"112")</f>
        <v>0</v>
      </c>
      <c r="Z167" s="52"/>
      <c r="AF167" s="52">
        <v>185500</v>
      </c>
    </row>
    <row r="168" spans="1:32" ht="20.100000000000001" customHeight="1" outlineLevel="1" x14ac:dyDescent="0.2">
      <c r="A168" s="26" t="s">
        <v>330</v>
      </c>
      <c r="B168" s="30">
        <v>112</v>
      </c>
      <c r="C168" s="30" t="str">
        <f>LEFT(F168,1)</f>
        <v>3</v>
      </c>
      <c r="D168" s="30" t="str">
        <f>LEFT(F168,2)</f>
        <v>32</v>
      </c>
      <c r="E168" s="26" t="str">
        <f>LEFT(F168,3)</f>
        <v>323</v>
      </c>
      <c r="F168" s="26" t="s">
        <v>97</v>
      </c>
      <c r="G168" s="26" t="s">
        <v>259</v>
      </c>
      <c r="H168" s="26" t="s">
        <v>99</v>
      </c>
      <c r="I168" s="27">
        <v>0</v>
      </c>
      <c r="J168" s="27">
        <f>I168-K168</f>
        <v>60935.17</v>
      </c>
      <c r="K168" s="27">
        <v>-60935.17</v>
      </c>
      <c r="L168" s="27">
        <v>0</v>
      </c>
      <c r="M168" s="27">
        <v>60935.17</v>
      </c>
      <c r="N168" s="27">
        <v>0</v>
      </c>
      <c r="O168" s="27">
        <v>-60935.17</v>
      </c>
      <c r="P168" s="28">
        <v>0</v>
      </c>
      <c r="Q168" s="27">
        <f>J168</f>
        <v>60935.17</v>
      </c>
      <c r="R168" s="27">
        <v>-60935.17</v>
      </c>
      <c r="S168" s="27">
        <f>R168+Q168</f>
        <v>0</v>
      </c>
      <c r="T168" s="27">
        <f>S168</f>
        <v>0</v>
      </c>
      <c r="U168" s="27">
        <v>185500</v>
      </c>
      <c r="V168" s="27">
        <f>T168-U168</f>
        <v>-185500</v>
      </c>
      <c r="W168" s="27"/>
      <c r="X168" s="27">
        <f>W168+U168</f>
        <v>185500</v>
      </c>
      <c r="Y168" s="27">
        <f>T168-X168</f>
        <v>-185500</v>
      </c>
      <c r="Z168" s="27"/>
      <c r="AF168" s="27">
        <v>185500</v>
      </c>
    </row>
    <row r="169" spans="1:32" ht="20.100000000000001" customHeight="1" outlineLevel="1" x14ac:dyDescent="0.2">
      <c r="A169" s="26" t="s">
        <v>330</v>
      </c>
      <c r="B169" s="30">
        <v>112</v>
      </c>
      <c r="C169" s="30" t="str">
        <f>LEFT(F169,1)</f>
        <v>3</v>
      </c>
      <c r="D169" s="30" t="str">
        <f>LEFT(F169,2)</f>
        <v>37</v>
      </c>
      <c r="E169" s="26" t="str">
        <f>LEFT(F169,3)</f>
        <v>372</v>
      </c>
      <c r="F169" s="26" t="s">
        <v>260</v>
      </c>
      <c r="G169" s="26" t="s">
        <v>261</v>
      </c>
      <c r="H169" s="26" t="s">
        <v>262</v>
      </c>
      <c r="I169" s="27">
        <v>185500</v>
      </c>
      <c r="J169" s="27">
        <f>I169-K169</f>
        <v>36099</v>
      </c>
      <c r="K169" s="27">
        <v>149401</v>
      </c>
      <c r="L169" s="27">
        <v>0</v>
      </c>
      <c r="M169" s="27">
        <v>36099</v>
      </c>
      <c r="N169" s="27">
        <v>0</v>
      </c>
      <c r="O169" s="27">
        <v>149401</v>
      </c>
      <c r="P169" s="28">
        <v>0.19500000000000001</v>
      </c>
      <c r="Q169" s="27">
        <f>J169</f>
        <v>36099</v>
      </c>
      <c r="R169" s="27">
        <v>149401</v>
      </c>
      <c r="S169" s="27">
        <f>R169+Q169</f>
        <v>185500</v>
      </c>
      <c r="T169" s="27">
        <f>S169</f>
        <v>185500</v>
      </c>
      <c r="U169" s="27"/>
      <c r="V169" s="27">
        <f>T169-U169</f>
        <v>185500</v>
      </c>
      <c r="W169" s="27"/>
      <c r="X169" s="27">
        <f>W169+U169</f>
        <v>0</v>
      </c>
      <c r="Y169" s="27">
        <f>T169-X169</f>
        <v>185500</v>
      </c>
      <c r="Z169" s="27"/>
      <c r="AF169" s="27">
        <v>0</v>
      </c>
    </row>
    <row r="170" spans="1:32" ht="35.1" customHeight="1" x14ac:dyDescent="0.2">
      <c r="F170" s="222" t="s">
        <v>263</v>
      </c>
      <c r="G170" s="222"/>
      <c r="H170" s="222"/>
      <c r="I170" s="39">
        <f>I171+I179+I189+I193+I196+I200+I203</f>
        <v>2825300</v>
      </c>
      <c r="J170" s="39">
        <f t="shared" ref="J170:O170" si="87">J171+J179+J189+J193+J196+J200+J203</f>
        <v>1702830.04</v>
      </c>
      <c r="K170" s="39">
        <f t="shared" si="87"/>
        <v>1122469.96</v>
      </c>
      <c r="L170" s="39">
        <f t="shared" si="87"/>
        <v>0</v>
      </c>
      <c r="M170" s="39">
        <f t="shared" si="87"/>
        <v>1702830.04</v>
      </c>
      <c r="N170" s="39">
        <f t="shared" si="87"/>
        <v>0</v>
      </c>
      <c r="O170" s="39">
        <f t="shared" si="87"/>
        <v>1122469.96</v>
      </c>
      <c r="P170" s="40">
        <v>0.60299999999999998</v>
      </c>
      <c r="Q170" s="39">
        <f t="shared" ref="Q170:V170" si="88">Q171+Q179+Q189+Q193+Q196+Q200+Q203</f>
        <v>1702830.04</v>
      </c>
      <c r="R170" s="39">
        <f t="shared" si="88"/>
        <v>108387.72</v>
      </c>
      <c r="S170" s="39">
        <f t="shared" si="88"/>
        <v>1811217.76</v>
      </c>
      <c r="T170" s="39">
        <f t="shared" si="88"/>
        <v>2249697.46</v>
      </c>
      <c r="U170" s="39">
        <f t="shared" si="88"/>
        <v>2252929.92</v>
      </c>
      <c r="V170" s="39">
        <f t="shared" si="88"/>
        <v>-3232.4600000001155</v>
      </c>
      <c r="W170" s="39">
        <f>W171+W179+W189+W193+W196+W200+W203</f>
        <v>0</v>
      </c>
      <c r="X170" s="39">
        <f>X171+X179+X189+X193+X196+X200+X203</f>
        <v>2252929.92</v>
      </c>
      <c r="Y170" s="39">
        <f>Y171+Y179+Y189+Y193+Y196+Y200+Y203</f>
        <v>-3232.4599999999991</v>
      </c>
      <c r="Z170" s="39"/>
      <c r="AF170" s="39">
        <v>2252929.92</v>
      </c>
    </row>
    <row r="171" spans="1:32" ht="20.100000000000001" customHeight="1" x14ac:dyDescent="0.2">
      <c r="F171" s="216" t="s">
        <v>56</v>
      </c>
      <c r="G171" s="216"/>
      <c r="H171" s="216"/>
      <c r="I171" s="52">
        <f>SUMIFS(I172:I338,$A172:$A338,"K212401",$B172:$B338,"112")</f>
        <v>2117200</v>
      </c>
      <c r="J171" s="52">
        <f t="shared" ref="J171:V171" si="89">SUMIFS(J172:J338,$A172:$A338,"K212401",$B172:$B338,"112")</f>
        <v>1248873.02</v>
      </c>
      <c r="K171" s="52">
        <f t="shared" si="89"/>
        <v>868326.98</v>
      </c>
      <c r="L171" s="52">
        <f t="shared" si="89"/>
        <v>0</v>
      </c>
      <c r="M171" s="52">
        <f t="shared" si="89"/>
        <v>1248873.02</v>
      </c>
      <c r="N171" s="52">
        <f t="shared" si="89"/>
        <v>0</v>
      </c>
      <c r="O171" s="52">
        <f t="shared" si="89"/>
        <v>868326.98</v>
      </c>
      <c r="P171" s="53">
        <v>0.59</v>
      </c>
      <c r="Q171" s="52">
        <f t="shared" si="89"/>
        <v>1248873.02</v>
      </c>
      <c r="R171" s="52">
        <f t="shared" si="89"/>
        <v>108387.72</v>
      </c>
      <c r="S171" s="52">
        <f t="shared" si="89"/>
        <v>1357260.74</v>
      </c>
      <c r="T171" s="52">
        <f>SUMIFS(T172:T338,$A172:$A338,"K212401",$B172:$B338,"112")</f>
        <v>1357260.74</v>
      </c>
      <c r="U171" s="52">
        <f t="shared" si="89"/>
        <v>1360493.2000000002</v>
      </c>
      <c r="V171" s="52">
        <f t="shared" si="89"/>
        <v>-3232.4600000001155</v>
      </c>
      <c r="W171" s="52">
        <f>SUMIFS(W172:W338,$A172:$A338,"K212401",$B172:$B338,"112")</f>
        <v>18.63</v>
      </c>
      <c r="X171" s="52">
        <f>SUMIFS(X172:X338,$A172:$A338,"K212401",$B172:$B338,"112")</f>
        <v>1360511.83</v>
      </c>
      <c r="Y171" s="52">
        <f>SUMIFS(Y172:Y338,$A172:$A338,"K212401",$B172:$B338,"112")</f>
        <v>-3251.0900000000038</v>
      </c>
      <c r="Z171" s="52"/>
      <c r="AF171" s="52">
        <v>1360493.2000000002</v>
      </c>
    </row>
    <row r="172" spans="1:32" ht="24.95" customHeight="1" outlineLevel="1" x14ac:dyDescent="0.2">
      <c r="A172" s="26" t="s">
        <v>331</v>
      </c>
      <c r="B172" s="30">
        <v>112</v>
      </c>
      <c r="C172" s="30" t="str">
        <f t="shared" ref="C172:C178" si="90">LEFT(F172,1)</f>
        <v>3</v>
      </c>
      <c r="D172" s="30" t="str">
        <f t="shared" ref="D172:D178" si="91">LEFT(F172,2)</f>
        <v>32</v>
      </c>
      <c r="E172" s="26" t="str">
        <f t="shared" ref="E172:E178" si="92">LEFT(F172,3)</f>
        <v>322</v>
      </c>
      <c r="F172" s="26" t="s">
        <v>75</v>
      </c>
      <c r="G172" s="26" t="s">
        <v>264</v>
      </c>
      <c r="H172" s="26" t="s">
        <v>77</v>
      </c>
      <c r="I172" s="27">
        <v>0</v>
      </c>
      <c r="J172" s="27">
        <v>0</v>
      </c>
      <c r="K172" s="27">
        <v>0</v>
      </c>
      <c r="L172" s="27">
        <v>0</v>
      </c>
      <c r="M172" s="27">
        <v>0</v>
      </c>
      <c r="N172" s="27">
        <v>0</v>
      </c>
      <c r="O172" s="27">
        <v>0</v>
      </c>
      <c r="P172" s="28">
        <v>0</v>
      </c>
      <c r="Q172" s="27">
        <f t="shared" ref="Q172:Q178" si="93">J172</f>
        <v>0</v>
      </c>
      <c r="R172" s="27"/>
      <c r="S172" s="27">
        <f t="shared" ref="S172:S178" si="94">R172+Q172</f>
        <v>0</v>
      </c>
      <c r="T172" s="27">
        <f t="shared" ref="T172:T178" si="95">S172</f>
        <v>0</v>
      </c>
      <c r="U172" s="27"/>
      <c r="V172" s="27">
        <f t="shared" ref="V172:V178" si="96">T172-U172</f>
        <v>0</v>
      </c>
      <c r="W172" s="27"/>
      <c r="X172" s="27">
        <f t="shared" ref="X172:X178" si="97">W172+U172</f>
        <v>0</v>
      </c>
      <c r="Y172" s="27">
        <f t="shared" ref="Y172:Y178" si="98">T172-X172</f>
        <v>0</v>
      </c>
      <c r="Z172" s="27"/>
      <c r="AF172" s="27">
        <v>0</v>
      </c>
    </row>
    <row r="173" spans="1:32" ht="24.95" customHeight="1" outlineLevel="1" x14ac:dyDescent="0.2">
      <c r="A173" s="26" t="s">
        <v>331</v>
      </c>
      <c r="B173" s="30">
        <v>112</v>
      </c>
      <c r="C173" s="30" t="str">
        <f t="shared" si="90"/>
        <v>3</v>
      </c>
      <c r="D173" s="30" t="str">
        <f t="shared" si="91"/>
        <v>32</v>
      </c>
      <c r="E173" s="26" t="str">
        <f t="shared" si="92"/>
        <v>323</v>
      </c>
      <c r="F173" s="26" t="s">
        <v>38</v>
      </c>
      <c r="G173" s="26" t="s">
        <v>265</v>
      </c>
      <c r="H173" s="26" t="s">
        <v>40</v>
      </c>
      <c r="I173" s="27">
        <v>0</v>
      </c>
      <c r="J173" s="27">
        <v>0</v>
      </c>
      <c r="K173" s="27">
        <v>0</v>
      </c>
      <c r="L173" s="27">
        <v>0</v>
      </c>
      <c r="M173" s="27">
        <v>0</v>
      </c>
      <c r="N173" s="27">
        <v>0</v>
      </c>
      <c r="O173" s="27">
        <v>0</v>
      </c>
      <c r="P173" s="28">
        <v>0</v>
      </c>
      <c r="Q173" s="27">
        <f t="shared" si="93"/>
        <v>0</v>
      </c>
      <c r="R173" s="27"/>
      <c r="S173" s="27">
        <f t="shared" si="94"/>
        <v>0</v>
      </c>
      <c r="T173" s="27">
        <f t="shared" si="95"/>
        <v>0</v>
      </c>
      <c r="U173" s="27"/>
      <c r="V173" s="27">
        <f t="shared" si="96"/>
        <v>0</v>
      </c>
      <c r="W173" s="27"/>
      <c r="X173" s="27">
        <f t="shared" si="97"/>
        <v>0</v>
      </c>
      <c r="Y173" s="27">
        <f t="shared" si="98"/>
        <v>0</v>
      </c>
      <c r="Z173" s="27"/>
      <c r="AF173" s="27">
        <v>0</v>
      </c>
    </row>
    <row r="174" spans="1:32" ht="24.95" customHeight="1" outlineLevel="1" x14ac:dyDescent="0.2">
      <c r="A174" s="26" t="s">
        <v>331</v>
      </c>
      <c r="B174" s="30">
        <v>112</v>
      </c>
      <c r="C174" s="30" t="str">
        <f t="shared" si="90"/>
        <v>4</v>
      </c>
      <c r="D174" s="30" t="str">
        <f t="shared" si="91"/>
        <v>42</v>
      </c>
      <c r="E174" s="26" t="str">
        <f t="shared" si="92"/>
        <v>422</v>
      </c>
      <c r="F174" s="26" t="s">
        <v>27</v>
      </c>
      <c r="G174" s="26" t="s">
        <v>266</v>
      </c>
      <c r="H174" s="26" t="s">
        <v>29</v>
      </c>
      <c r="I174" s="27">
        <v>92800</v>
      </c>
      <c r="J174" s="27">
        <v>47867.78</v>
      </c>
      <c r="K174" s="27">
        <v>44932.22</v>
      </c>
      <c r="L174" s="27">
        <v>0</v>
      </c>
      <c r="M174" s="27">
        <v>47867.78</v>
      </c>
      <c r="N174" s="27">
        <v>0</v>
      </c>
      <c r="O174" s="27">
        <v>44932.22</v>
      </c>
      <c r="P174" s="28">
        <v>0.51600000000000001</v>
      </c>
      <c r="Q174" s="27">
        <f t="shared" si="93"/>
        <v>47867.78</v>
      </c>
      <c r="R174" s="27"/>
      <c r="S174" s="27">
        <f t="shared" si="94"/>
        <v>47867.78</v>
      </c>
      <c r="T174" s="27">
        <f t="shared" si="95"/>
        <v>47867.78</v>
      </c>
      <c r="U174" s="27">
        <v>51118.87</v>
      </c>
      <c r="V174" s="27">
        <f t="shared" si="96"/>
        <v>-3251.0900000000038</v>
      </c>
      <c r="W174" s="27"/>
      <c r="X174" s="27">
        <f t="shared" si="97"/>
        <v>51118.87</v>
      </c>
      <c r="Y174" s="27">
        <f t="shared" si="98"/>
        <v>-3251.0900000000038</v>
      </c>
      <c r="Z174" s="27"/>
      <c r="AF174" s="27">
        <v>51118.87</v>
      </c>
    </row>
    <row r="175" spans="1:32" ht="24.95" customHeight="1" outlineLevel="1" x14ac:dyDescent="0.2">
      <c r="A175" s="26" t="s">
        <v>331</v>
      </c>
      <c r="B175" s="30">
        <v>112</v>
      </c>
      <c r="C175" s="30" t="str">
        <f t="shared" si="90"/>
        <v>4</v>
      </c>
      <c r="D175" s="30" t="str">
        <f t="shared" si="91"/>
        <v>42</v>
      </c>
      <c r="E175" s="26" t="str">
        <f t="shared" si="92"/>
        <v>422</v>
      </c>
      <c r="F175" s="26" t="s">
        <v>30</v>
      </c>
      <c r="G175" s="26" t="s">
        <v>267</v>
      </c>
      <c r="H175" s="26" t="s">
        <v>32</v>
      </c>
      <c r="I175" s="27">
        <v>0</v>
      </c>
      <c r="J175" s="27">
        <v>0</v>
      </c>
      <c r="K175" s="27">
        <v>0</v>
      </c>
      <c r="L175" s="27">
        <v>0</v>
      </c>
      <c r="M175" s="27">
        <v>0</v>
      </c>
      <c r="N175" s="27">
        <v>0</v>
      </c>
      <c r="O175" s="27">
        <v>0</v>
      </c>
      <c r="P175" s="28">
        <v>0</v>
      </c>
      <c r="Q175" s="27">
        <f t="shared" si="93"/>
        <v>0</v>
      </c>
      <c r="R175" s="27"/>
      <c r="S175" s="27">
        <f t="shared" si="94"/>
        <v>0</v>
      </c>
      <c r="T175" s="27">
        <f t="shared" si="95"/>
        <v>0</v>
      </c>
      <c r="U175" s="27"/>
      <c r="V175" s="27">
        <f t="shared" si="96"/>
        <v>0</v>
      </c>
      <c r="W175" s="27"/>
      <c r="X175" s="27">
        <f t="shared" si="97"/>
        <v>0</v>
      </c>
      <c r="Y175" s="27">
        <f t="shared" si="98"/>
        <v>0</v>
      </c>
      <c r="Z175" s="27"/>
      <c r="AF175" s="27">
        <v>0</v>
      </c>
    </row>
    <row r="176" spans="1:32" ht="24.95" customHeight="1" outlineLevel="1" x14ac:dyDescent="0.2">
      <c r="A176" s="26" t="s">
        <v>331</v>
      </c>
      <c r="B176" s="30">
        <v>112</v>
      </c>
      <c r="C176" s="30" t="str">
        <f t="shared" si="90"/>
        <v>4</v>
      </c>
      <c r="D176" s="30" t="str">
        <f t="shared" si="91"/>
        <v>42</v>
      </c>
      <c r="E176" s="26" t="str">
        <f t="shared" si="92"/>
        <v>423</v>
      </c>
      <c r="F176" s="26" t="s">
        <v>14</v>
      </c>
      <c r="G176" s="26" t="s">
        <v>268</v>
      </c>
      <c r="H176" s="26" t="s">
        <v>16</v>
      </c>
      <c r="I176" s="27">
        <v>168000</v>
      </c>
      <c r="J176" s="27">
        <v>0</v>
      </c>
      <c r="K176" s="27">
        <v>168000</v>
      </c>
      <c r="L176" s="27">
        <v>0</v>
      </c>
      <c r="M176" s="27">
        <v>0</v>
      </c>
      <c r="N176" s="27">
        <v>0</v>
      </c>
      <c r="O176" s="27">
        <v>168000</v>
      </c>
      <c r="P176" s="28">
        <v>0</v>
      </c>
      <c r="Q176" s="27">
        <f t="shared" si="93"/>
        <v>0</v>
      </c>
      <c r="R176" s="27"/>
      <c r="S176" s="27">
        <f t="shared" si="94"/>
        <v>0</v>
      </c>
      <c r="T176" s="27">
        <f t="shared" si="95"/>
        <v>0</v>
      </c>
      <c r="U176" s="27"/>
      <c r="V176" s="27">
        <f t="shared" si="96"/>
        <v>0</v>
      </c>
      <c r="W176" s="27"/>
      <c r="X176" s="27">
        <f t="shared" si="97"/>
        <v>0</v>
      </c>
      <c r="Y176" s="27">
        <f t="shared" si="98"/>
        <v>0</v>
      </c>
      <c r="Z176" s="27"/>
      <c r="AF176" s="27">
        <v>0</v>
      </c>
    </row>
    <row r="177" spans="1:32" ht="24.95" customHeight="1" outlineLevel="1" x14ac:dyDescent="0.2">
      <c r="A177" s="26" t="s">
        <v>331</v>
      </c>
      <c r="B177" s="30">
        <v>112</v>
      </c>
      <c r="C177" s="30" t="str">
        <f t="shared" si="90"/>
        <v>4</v>
      </c>
      <c r="D177" s="30" t="str">
        <f t="shared" si="91"/>
        <v>42</v>
      </c>
      <c r="E177" s="26" t="str">
        <f t="shared" si="92"/>
        <v>424</v>
      </c>
      <c r="F177" s="26" t="s">
        <v>17</v>
      </c>
      <c r="G177" s="26" t="s">
        <v>269</v>
      </c>
      <c r="H177" s="26" t="s">
        <v>19</v>
      </c>
      <c r="I177" s="27">
        <v>1426000</v>
      </c>
      <c r="J177" s="27">
        <v>1191612.28</v>
      </c>
      <c r="K177" s="27">
        <v>234387.72</v>
      </c>
      <c r="L177" s="27">
        <v>0</v>
      </c>
      <c r="M177" s="27">
        <v>1191612.28</v>
      </c>
      <c r="N177" s="27">
        <v>0</v>
      </c>
      <c r="O177" s="27">
        <v>234387.72</v>
      </c>
      <c r="P177" s="28">
        <v>0.83599999999999997</v>
      </c>
      <c r="Q177" s="27">
        <f t="shared" si="93"/>
        <v>1191612.28</v>
      </c>
      <c r="R177" s="27">
        <v>108387.72</v>
      </c>
      <c r="S177" s="27">
        <f t="shared" si="94"/>
        <v>1300000</v>
      </c>
      <c r="T177" s="27">
        <f t="shared" si="95"/>
        <v>1300000</v>
      </c>
      <c r="U177" s="27">
        <v>1299981.3700000001</v>
      </c>
      <c r="V177" s="27">
        <f t="shared" si="96"/>
        <v>18.629999999888241</v>
      </c>
      <c r="W177" s="27">
        <v>18.63</v>
      </c>
      <c r="X177" s="27">
        <f t="shared" si="97"/>
        <v>1300000</v>
      </c>
      <c r="Y177" s="27">
        <f t="shared" si="98"/>
        <v>0</v>
      </c>
      <c r="Z177" s="27"/>
      <c r="AF177" s="27">
        <v>1299981.3700000001</v>
      </c>
    </row>
    <row r="178" spans="1:32" ht="24.95" customHeight="1" outlineLevel="1" x14ac:dyDescent="0.2">
      <c r="A178" s="26" t="s">
        <v>331</v>
      </c>
      <c r="B178" s="30">
        <v>112</v>
      </c>
      <c r="C178" s="30" t="str">
        <f t="shared" si="90"/>
        <v>4</v>
      </c>
      <c r="D178" s="30" t="str">
        <f t="shared" si="91"/>
        <v>45</v>
      </c>
      <c r="E178" s="26" t="str">
        <f t="shared" si="92"/>
        <v>451</v>
      </c>
      <c r="F178" s="26" t="s">
        <v>23</v>
      </c>
      <c r="G178" s="26" t="s">
        <v>270</v>
      </c>
      <c r="H178" s="26" t="s">
        <v>25</v>
      </c>
      <c r="I178" s="27">
        <v>430400</v>
      </c>
      <c r="J178" s="27">
        <v>9392.9599999999991</v>
      </c>
      <c r="K178" s="27">
        <v>421007.04</v>
      </c>
      <c r="L178" s="27">
        <v>0</v>
      </c>
      <c r="M178" s="27">
        <v>9392.9599999999991</v>
      </c>
      <c r="N178" s="27">
        <v>0</v>
      </c>
      <c r="O178" s="27">
        <v>421007.04</v>
      </c>
      <c r="P178" s="28">
        <v>2.1999999999999999E-2</v>
      </c>
      <c r="Q178" s="27">
        <f t="shared" si="93"/>
        <v>9392.9599999999991</v>
      </c>
      <c r="R178" s="27"/>
      <c r="S178" s="27">
        <f t="shared" si="94"/>
        <v>9392.9599999999991</v>
      </c>
      <c r="T178" s="27">
        <f t="shared" si="95"/>
        <v>9392.9599999999991</v>
      </c>
      <c r="U178" s="27">
        <v>9392.9599999999991</v>
      </c>
      <c r="V178" s="27">
        <f t="shared" si="96"/>
        <v>0</v>
      </c>
      <c r="W178" s="27"/>
      <c r="X178" s="27">
        <f t="shared" si="97"/>
        <v>9392.9599999999991</v>
      </c>
      <c r="Y178" s="27">
        <f t="shared" si="98"/>
        <v>0</v>
      </c>
      <c r="Z178" s="27"/>
      <c r="AF178" s="27">
        <v>9392.9599999999991</v>
      </c>
    </row>
    <row r="179" spans="1:32" ht="20.100000000000001" customHeight="1" x14ac:dyDescent="0.2">
      <c r="F179" s="216" t="s">
        <v>129</v>
      </c>
      <c r="G179" s="216"/>
      <c r="H179" s="216"/>
      <c r="I179" s="52">
        <f>SUMIFS(I180:I346,$A180:$A346,"K212401",$B180:$B346,"431")</f>
        <v>57500</v>
      </c>
      <c r="J179" s="52">
        <f t="shared" ref="J179:O179" si="99">SUMIFS(J180:J346,$A180:$A346,"K212401",$B180:$B346,"431")</f>
        <v>59778.66</v>
      </c>
      <c r="K179" s="52">
        <f t="shared" si="99"/>
        <v>-2278.66</v>
      </c>
      <c r="L179" s="52">
        <f t="shared" si="99"/>
        <v>0</v>
      </c>
      <c r="M179" s="52">
        <f t="shared" si="99"/>
        <v>59778.66</v>
      </c>
      <c r="N179" s="52">
        <f t="shared" si="99"/>
        <v>0</v>
      </c>
      <c r="O179" s="52">
        <f t="shared" si="99"/>
        <v>-2278.66</v>
      </c>
      <c r="P179" s="53">
        <v>1.04</v>
      </c>
      <c r="Q179" s="52">
        <f t="shared" ref="Q179:V179" si="100">SUMIFS(Q180:Q346,$A180:$A346,"K212401",$B180:$B346,"431")</f>
        <v>59778.66</v>
      </c>
      <c r="R179" s="52">
        <f t="shared" si="100"/>
        <v>0</v>
      </c>
      <c r="S179" s="52">
        <f t="shared" si="100"/>
        <v>59778.66</v>
      </c>
      <c r="T179" s="52">
        <f t="shared" si="100"/>
        <v>94349.21</v>
      </c>
      <c r="U179" s="52">
        <f t="shared" si="100"/>
        <v>94349.21</v>
      </c>
      <c r="V179" s="52">
        <f t="shared" si="100"/>
        <v>0</v>
      </c>
      <c r="W179" s="52">
        <f>SUMIFS(W180:W346,$A180:$A346,"K212401",$B180:$B346,"431")</f>
        <v>0</v>
      </c>
      <c r="X179" s="52">
        <f>SUMIFS(X180:X346,$A180:$A346,"K212401",$B180:$B346,"431")</f>
        <v>94349.21</v>
      </c>
      <c r="Y179" s="52">
        <f>SUMIFS(Y180:Y346,$A180:$A346,"K212401",$B180:$B346,"431")</f>
        <v>0</v>
      </c>
      <c r="Z179" s="52"/>
      <c r="AF179" s="52">
        <v>94349.21</v>
      </c>
    </row>
    <row r="180" spans="1:32" ht="24.95" customHeight="1" outlineLevel="1" x14ac:dyDescent="0.2">
      <c r="A180" s="26" t="s">
        <v>331</v>
      </c>
      <c r="B180" s="30">
        <v>431</v>
      </c>
      <c r="C180" s="30" t="str">
        <f>LEFT(F180,1)</f>
        <v>4</v>
      </c>
      <c r="D180" s="30" t="str">
        <f>LEFT(F180,2)</f>
        <v>42</v>
      </c>
      <c r="E180" s="26" t="str">
        <f t="shared" ref="E180:E204" si="101">LEFT(F180,3)</f>
        <v>422</v>
      </c>
      <c r="F180" s="26" t="s">
        <v>27</v>
      </c>
      <c r="G180" s="26" t="s">
        <v>271</v>
      </c>
      <c r="H180" s="26" t="s">
        <v>29</v>
      </c>
      <c r="I180" s="27">
        <v>36500</v>
      </c>
      <c r="J180" s="27">
        <f t="shared" ref="J180:J188" si="102">I180-K180</f>
        <v>57707.68</v>
      </c>
      <c r="K180" s="27">
        <v>-21207.68</v>
      </c>
      <c r="L180" s="27">
        <v>0</v>
      </c>
      <c r="M180" s="27">
        <v>57707.68</v>
      </c>
      <c r="N180" s="27">
        <v>0</v>
      </c>
      <c r="O180" s="27">
        <v>-21207.68</v>
      </c>
      <c r="P180" s="28">
        <v>1.581</v>
      </c>
      <c r="Q180" s="27">
        <f>J180</f>
        <v>57707.68</v>
      </c>
      <c r="R180" s="27"/>
      <c r="S180" s="27">
        <f t="shared" ref="S180:S188" si="103">R180+Q180</f>
        <v>57707.68</v>
      </c>
      <c r="T180" s="27">
        <f t="shared" ref="T180:T188" si="104">U180</f>
        <v>75175.37</v>
      </c>
      <c r="U180" s="27">
        <v>75175.37</v>
      </c>
      <c r="V180" s="27">
        <f t="shared" ref="V180:V188" si="105">T180-U180</f>
        <v>0</v>
      </c>
      <c r="W180" s="27"/>
      <c r="X180" s="27">
        <f t="shared" ref="X180:X188" si="106">W180+U180</f>
        <v>75175.37</v>
      </c>
      <c r="Y180" s="27">
        <f t="shared" ref="Y180:Y188" si="107">T180-X180</f>
        <v>0</v>
      </c>
      <c r="Z180" s="27"/>
      <c r="AF180" s="27">
        <v>75175.37</v>
      </c>
    </row>
    <row r="181" spans="1:32" ht="24.95" customHeight="1" outlineLevel="1" x14ac:dyDescent="0.2">
      <c r="A181" s="26" t="s">
        <v>331</v>
      </c>
      <c r="B181" s="30">
        <v>431</v>
      </c>
      <c r="C181" s="30" t="str">
        <f>LEFT(F181,1)</f>
        <v>4</v>
      </c>
      <c r="D181" s="30" t="str">
        <f>LEFT(F181,2)</f>
        <v>42</v>
      </c>
      <c r="E181" s="26" t="str">
        <f t="shared" si="101"/>
        <v>422</v>
      </c>
      <c r="F181" s="26" t="s">
        <v>272</v>
      </c>
      <c r="G181" s="26" t="s">
        <v>273</v>
      </c>
      <c r="H181" s="26" t="s">
        <v>274</v>
      </c>
      <c r="I181" s="27">
        <v>0</v>
      </c>
      <c r="J181" s="27">
        <f t="shared" si="102"/>
        <v>0</v>
      </c>
      <c r="K181" s="27">
        <v>0</v>
      </c>
      <c r="L181" s="27">
        <v>0</v>
      </c>
      <c r="M181" s="27">
        <v>0</v>
      </c>
      <c r="N181" s="27">
        <v>0</v>
      </c>
      <c r="O181" s="27">
        <v>0</v>
      </c>
      <c r="P181" s="28">
        <v>0</v>
      </c>
      <c r="Q181" s="27">
        <f>J181</f>
        <v>0</v>
      </c>
      <c r="R181" s="27"/>
      <c r="S181" s="27">
        <f t="shared" si="103"/>
        <v>0</v>
      </c>
      <c r="T181" s="27">
        <f t="shared" si="104"/>
        <v>0</v>
      </c>
      <c r="U181" s="27"/>
      <c r="V181" s="27">
        <f t="shared" si="105"/>
        <v>0</v>
      </c>
      <c r="W181" s="27"/>
      <c r="X181" s="27">
        <f t="shared" si="106"/>
        <v>0</v>
      </c>
      <c r="Y181" s="27">
        <f t="shared" si="107"/>
        <v>0</v>
      </c>
      <c r="Z181" s="27"/>
      <c r="AF181" s="27">
        <v>0</v>
      </c>
    </row>
    <row r="182" spans="1:32" ht="24.95" customHeight="1" outlineLevel="1" x14ac:dyDescent="0.2">
      <c r="A182" s="26" t="s">
        <v>331</v>
      </c>
      <c r="B182" s="30">
        <v>431</v>
      </c>
      <c r="C182" s="30" t="str">
        <f>LEFT(F182,1)</f>
        <v>4</v>
      </c>
      <c r="D182" s="30" t="str">
        <f>LEFT(F182,2)</f>
        <v>42</v>
      </c>
      <c r="E182" s="26" t="str">
        <f t="shared" si="101"/>
        <v>422</v>
      </c>
      <c r="F182" s="26" t="s">
        <v>30</v>
      </c>
      <c r="G182" s="26" t="s">
        <v>275</v>
      </c>
      <c r="H182" s="26" t="s">
        <v>32</v>
      </c>
      <c r="I182" s="27">
        <v>15000</v>
      </c>
      <c r="J182" s="27">
        <f t="shared" si="102"/>
        <v>425</v>
      </c>
      <c r="K182" s="27">
        <v>14575</v>
      </c>
      <c r="L182" s="27">
        <v>0</v>
      </c>
      <c r="M182" s="27">
        <v>425</v>
      </c>
      <c r="N182" s="27">
        <v>0</v>
      </c>
      <c r="O182" s="27">
        <v>14575</v>
      </c>
      <c r="P182" s="28">
        <v>2.8000000000000001E-2</v>
      </c>
      <c r="Q182" s="27">
        <f>J182</f>
        <v>425</v>
      </c>
      <c r="R182" s="27"/>
      <c r="S182" s="27">
        <f t="shared" si="103"/>
        <v>425</v>
      </c>
      <c r="T182" s="27">
        <f t="shared" si="104"/>
        <v>14600.54</v>
      </c>
      <c r="U182" s="27">
        <v>14600.54</v>
      </c>
      <c r="V182" s="27">
        <f t="shared" si="105"/>
        <v>0</v>
      </c>
      <c r="W182" s="27"/>
      <c r="X182" s="27">
        <f t="shared" si="106"/>
        <v>14600.54</v>
      </c>
      <c r="Y182" s="27">
        <f t="shared" si="107"/>
        <v>0</v>
      </c>
      <c r="Z182" s="27"/>
      <c r="AF182" s="27">
        <v>14600.54</v>
      </c>
    </row>
    <row r="183" spans="1:32" ht="24.95" customHeight="1" outlineLevel="1" x14ac:dyDescent="0.2">
      <c r="A183" s="26" t="s">
        <v>331</v>
      </c>
      <c r="B183" s="30">
        <v>431</v>
      </c>
      <c r="C183" s="30" t="str">
        <f>LEFT(F183,1)</f>
        <v>4</v>
      </c>
      <c r="D183" s="30" t="str">
        <f>LEFT(F183,2)</f>
        <v>42</v>
      </c>
      <c r="E183" s="26" t="str">
        <f t="shared" si="101"/>
        <v>422</v>
      </c>
      <c r="F183" s="26" t="s">
        <v>276</v>
      </c>
      <c r="G183" s="26" t="s">
        <v>277</v>
      </c>
      <c r="H183" s="26" t="s">
        <v>278</v>
      </c>
      <c r="I183" s="27">
        <v>0</v>
      </c>
      <c r="J183" s="27">
        <f t="shared" si="102"/>
        <v>0</v>
      </c>
      <c r="K183" s="27">
        <v>0</v>
      </c>
      <c r="L183" s="27">
        <v>0</v>
      </c>
      <c r="M183" s="27">
        <v>0</v>
      </c>
      <c r="N183" s="27">
        <v>0</v>
      </c>
      <c r="O183" s="27">
        <v>0</v>
      </c>
      <c r="P183" s="28">
        <v>0</v>
      </c>
      <c r="Q183" s="27">
        <f>J183</f>
        <v>0</v>
      </c>
      <c r="R183" s="27"/>
      <c r="S183" s="27">
        <f t="shared" si="103"/>
        <v>0</v>
      </c>
      <c r="T183" s="27">
        <f t="shared" si="104"/>
        <v>0</v>
      </c>
      <c r="U183" s="27"/>
      <c r="V183" s="27">
        <f t="shared" si="105"/>
        <v>0</v>
      </c>
      <c r="W183" s="27"/>
      <c r="X183" s="27">
        <f t="shared" si="106"/>
        <v>0</v>
      </c>
      <c r="Y183" s="27">
        <f t="shared" si="107"/>
        <v>0</v>
      </c>
      <c r="Z183" s="27"/>
      <c r="AF183" s="27">
        <v>0</v>
      </c>
    </row>
    <row r="184" spans="1:32" ht="24.95" customHeight="1" outlineLevel="1" x14ac:dyDescent="0.2">
      <c r="J184" s="27">
        <f t="shared" si="102"/>
        <v>0</v>
      </c>
      <c r="S184" s="27">
        <f t="shared" si="103"/>
        <v>0</v>
      </c>
      <c r="T184" s="27">
        <f t="shared" si="104"/>
        <v>0</v>
      </c>
      <c r="V184" s="27">
        <f t="shared" si="105"/>
        <v>0</v>
      </c>
      <c r="X184" s="25">
        <f t="shared" si="106"/>
        <v>0</v>
      </c>
      <c r="Y184" s="27">
        <f t="shared" si="107"/>
        <v>0</v>
      </c>
      <c r="Z184" s="27"/>
      <c r="AF184" s="25">
        <v>0</v>
      </c>
    </row>
    <row r="185" spans="1:32" outlineLevel="1" x14ac:dyDescent="0.2">
      <c r="A185" s="26" t="s">
        <v>331</v>
      </c>
      <c r="B185" s="30">
        <v>431</v>
      </c>
      <c r="C185" s="30" t="str">
        <f>LEFT(F185,1)</f>
        <v>4</v>
      </c>
      <c r="D185" s="30" t="str">
        <f>LEFT(F185,2)</f>
        <v>42</v>
      </c>
      <c r="E185" s="26" t="str">
        <f t="shared" si="101"/>
        <v>423</v>
      </c>
      <c r="F185" s="4" t="s">
        <v>14</v>
      </c>
      <c r="G185" s="4" t="s">
        <v>15</v>
      </c>
      <c r="H185" s="4" t="s">
        <v>16</v>
      </c>
      <c r="I185" s="5">
        <v>1500</v>
      </c>
      <c r="J185" s="27">
        <f t="shared" si="102"/>
        <v>1500</v>
      </c>
      <c r="K185" s="5">
        <v>0</v>
      </c>
      <c r="L185" s="5">
        <v>0</v>
      </c>
      <c r="M185" s="5">
        <v>1500</v>
      </c>
      <c r="N185" s="5">
        <v>0</v>
      </c>
      <c r="O185" s="5">
        <v>0</v>
      </c>
      <c r="P185" s="6">
        <v>1</v>
      </c>
      <c r="Q185" s="27">
        <f>J185</f>
        <v>1500</v>
      </c>
      <c r="R185" s="27"/>
      <c r="S185" s="27">
        <f t="shared" si="103"/>
        <v>1500</v>
      </c>
      <c r="T185" s="27">
        <f t="shared" si="104"/>
        <v>1500</v>
      </c>
      <c r="U185" s="27">
        <v>1500</v>
      </c>
      <c r="V185" s="27">
        <f t="shared" si="105"/>
        <v>0</v>
      </c>
      <c r="W185" s="27"/>
      <c r="X185" s="27">
        <f t="shared" si="106"/>
        <v>1500</v>
      </c>
      <c r="Y185" s="27">
        <f t="shared" si="107"/>
        <v>0</v>
      </c>
      <c r="Z185" s="27"/>
      <c r="AF185" s="27">
        <v>1500</v>
      </c>
    </row>
    <row r="186" spans="1:32" outlineLevel="1" x14ac:dyDescent="0.2">
      <c r="A186" s="26" t="s">
        <v>331</v>
      </c>
      <c r="B186" s="30">
        <v>431</v>
      </c>
      <c r="C186" s="30" t="str">
        <f>LEFT(F186,1)</f>
        <v>4</v>
      </c>
      <c r="D186" s="30" t="str">
        <f>LEFT(F186,2)</f>
        <v>42</v>
      </c>
      <c r="E186" s="26" t="str">
        <f t="shared" si="101"/>
        <v>424</v>
      </c>
      <c r="F186" s="4" t="s">
        <v>17</v>
      </c>
      <c r="G186" s="4" t="s">
        <v>18</v>
      </c>
      <c r="H186" s="4" t="s">
        <v>19</v>
      </c>
      <c r="I186" s="5">
        <v>0</v>
      </c>
      <c r="J186" s="27">
        <f t="shared" si="102"/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6">
        <v>0</v>
      </c>
      <c r="Q186" s="27">
        <f>J186</f>
        <v>0</v>
      </c>
      <c r="R186" s="27"/>
      <c r="S186" s="27">
        <f t="shared" si="103"/>
        <v>0</v>
      </c>
      <c r="T186" s="27">
        <f t="shared" si="104"/>
        <v>10.3</v>
      </c>
      <c r="U186" s="27">
        <v>10.3</v>
      </c>
      <c r="V186" s="27">
        <f t="shared" si="105"/>
        <v>0</v>
      </c>
      <c r="W186" s="27"/>
      <c r="X186" s="27">
        <f t="shared" si="106"/>
        <v>10.3</v>
      </c>
      <c r="Y186" s="27">
        <f t="shared" si="107"/>
        <v>0</v>
      </c>
      <c r="Z186" s="27"/>
      <c r="AF186" s="27">
        <v>10.3</v>
      </c>
    </row>
    <row r="187" spans="1:32" outlineLevel="1" x14ac:dyDescent="0.2">
      <c r="A187" s="26" t="s">
        <v>331</v>
      </c>
      <c r="B187" s="30">
        <v>431</v>
      </c>
      <c r="C187" s="30" t="str">
        <f>LEFT(F187,1)</f>
        <v>4</v>
      </c>
      <c r="D187" s="30" t="str">
        <f>LEFT(F187,2)</f>
        <v>42</v>
      </c>
      <c r="E187" s="26" t="str">
        <f t="shared" si="101"/>
        <v>426</v>
      </c>
      <c r="F187" s="4" t="s">
        <v>20</v>
      </c>
      <c r="G187" s="4" t="s">
        <v>21</v>
      </c>
      <c r="H187" s="4" t="s">
        <v>22</v>
      </c>
      <c r="I187" s="5">
        <v>4500</v>
      </c>
      <c r="J187" s="27">
        <f t="shared" si="102"/>
        <v>145.97999999999956</v>
      </c>
      <c r="K187" s="5">
        <v>4354.0200000000004</v>
      </c>
      <c r="L187" s="5">
        <v>0</v>
      </c>
      <c r="M187" s="5">
        <v>145.97999999999999</v>
      </c>
      <c r="N187" s="5">
        <v>0</v>
      </c>
      <c r="O187" s="5">
        <v>4354.0200000000004</v>
      </c>
      <c r="P187" s="6">
        <v>3.2000000000000001E-2</v>
      </c>
      <c r="Q187" s="27">
        <f>J187</f>
        <v>145.97999999999956</v>
      </c>
      <c r="R187" s="27"/>
      <c r="S187" s="27">
        <f t="shared" si="103"/>
        <v>145.97999999999956</v>
      </c>
      <c r="T187" s="27">
        <f t="shared" si="104"/>
        <v>3063</v>
      </c>
      <c r="U187" s="27">
        <v>3063</v>
      </c>
      <c r="V187" s="27">
        <f t="shared" si="105"/>
        <v>0</v>
      </c>
      <c r="W187" s="27"/>
      <c r="X187" s="27">
        <f t="shared" si="106"/>
        <v>3063</v>
      </c>
      <c r="Y187" s="27">
        <f t="shared" si="107"/>
        <v>0</v>
      </c>
      <c r="Z187" s="27"/>
      <c r="AF187" s="27">
        <v>3063</v>
      </c>
    </row>
    <row r="188" spans="1:32" outlineLevel="1" x14ac:dyDescent="0.2">
      <c r="A188" s="26" t="s">
        <v>331</v>
      </c>
      <c r="B188" s="30">
        <v>431</v>
      </c>
      <c r="C188" s="30" t="str">
        <f>LEFT(F188,1)</f>
        <v>4</v>
      </c>
      <c r="D188" s="30" t="str">
        <f>LEFT(F188,2)</f>
        <v>45</v>
      </c>
      <c r="E188" s="26" t="str">
        <f t="shared" si="101"/>
        <v>451</v>
      </c>
      <c r="F188" s="4" t="s">
        <v>23</v>
      </c>
      <c r="G188" s="4" t="s">
        <v>24</v>
      </c>
      <c r="H188" s="4" t="s">
        <v>25</v>
      </c>
      <c r="I188" s="5">
        <v>0</v>
      </c>
      <c r="J188" s="27">
        <f t="shared" si="102"/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6">
        <v>0</v>
      </c>
      <c r="Q188" s="27">
        <f>J188</f>
        <v>0</v>
      </c>
      <c r="R188" s="27"/>
      <c r="S188" s="27">
        <f t="shared" si="103"/>
        <v>0</v>
      </c>
      <c r="T188" s="27">
        <f t="shared" si="104"/>
        <v>0</v>
      </c>
      <c r="U188" s="27"/>
      <c r="V188" s="27">
        <f t="shared" si="105"/>
        <v>0</v>
      </c>
      <c r="W188" s="27"/>
      <c r="X188" s="27">
        <f t="shared" si="106"/>
        <v>0</v>
      </c>
      <c r="Y188" s="27">
        <f t="shared" si="107"/>
        <v>0</v>
      </c>
      <c r="Z188" s="27"/>
      <c r="AA188" s="38" t="s">
        <v>347</v>
      </c>
      <c r="AB188" s="38" t="s">
        <v>351</v>
      </c>
      <c r="AC188" s="38" t="s">
        <v>348</v>
      </c>
      <c r="AD188" s="38" t="s">
        <v>349</v>
      </c>
      <c r="AF188" s="27">
        <v>0</v>
      </c>
    </row>
    <row r="189" spans="1:32" ht="20.100000000000001" customHeight="1" x14ac:dyDescent="0.2">
      <c r="F189" s="216" t="s">
        <v>26</v>
      </c>
      <c r="G189" s="216"/>
      <c r="H189" s="216"/>
      <c r="I189" s="52">
        <f>SUMIFS(I190:I356,$A190:$A356,"K212401",$B190:$B356,"521")</f>
        <v>548500</v>
      </c>
      <c r="J189" s="52">
        <f t="shared" ref="J189:O189" si="108">SUMIFS(J190:J356,$A190:$A356,"K212401",$B190:$B356,"521")</f>
        <v>391956.57</v>
      </c>
      <c r="K189" s="52">
        <f t="shared" si="108"/>
        <v>156543.43</v>
      </c>
      <c r="L189" s="52">
        <f t="shared" si="108"/>
        <v>0</v>
      </c>
      <c r="M189" s="52">
        <f t="shared" si="108"/>
        <v>391956.57</v>
      </c>
      <c r="N189" s="52">
        <f t="shared" si="108"/>
        <v>0</v>
      </c>
      <c r="O189" s="52">
        <f t="shared" si="108"/>
        <v>156543.43</v>
      </c>
      <c r="P189" s="53">
        <v>0.71499999999999997</v>
      </c>
      <c r="Q189" s="52">
        <f t="shared" ref="Q189:V189" si="109">SUMIFS(Q190:Q356,$A190:$A356,"K212401",$B190:$B356,"521")</f>
        <v>391956.57</v>
      </c>
      <c r="R189" s="52">
        <f t="shared" si="109"/>
        <v>0</v>
      </c>
      <c r="S189" s="52">
        <f t="shared" si="109"/>
        <v>391956.57</v>
      </c>
      <c r="T189" s="52">
        <f t="shared" si="109"/>
        <v>701678.55</v>
      </c>
      <c r="U189" s="52">
        <f t="shared" si="109"/>
        <v>701678.55</v>
      </c>
      <c r="V189" s="52">
        <f t="shared" si="109"/>
        <v>0</v>
      </c>
      <c r="W189" s="52">
        <f>SUMIFS(W190:W356,$A190:$A356,"K212401",$B190:$B356,"521")</f>
        <v>-18.63</v>
      </c>
      <c r="X189" s="52">
        <f>SUMIFS(X190:X356,$A190:$A356,"K212401",$B190:$B356,"521")</f>
        <v>701659.92</v>
      </c>
      <c r="Y189" s="52">
        <f>SUMIFS(Y190:Y356,$A190:$A356,"K212401",$B190:$B356,"521")</f>
        <v>18.630000000004657</v>
      </c>
      <c r="Z189" s="52"/>
      <c r="AA189" s="52">
        <f>SUMIFS(AA190:AA356,$A190:$A356,"K212401",$B190:$B356,"521")</f>
        <v>342764.86</v>
      </c>
      <c r="AB189" s="52">
        <f>SUMIFS(AB190:AB356,$A190:$A356,"K212401",$B190:$B356,"521")</f>
        <v>319999.93</v>
      </c>
      <c r="AC189" s="52">
        <f>SUMIFS(AC190:AC356,$A190:$A356,"K212401",$B190:$B356,"521")</f>
        <v>25990.7</v>
      </c>
      <c r="AD189" s="52">
        <f>SUMIFS(AD190:AD356,$A190:$A356,"K212401",$B190:$B356,"521")</f>
        <v>12923.06</v>
      </c>
      <c r="AF189" s="52">
        <v>701678.55</v>
      </c>
    </row>
    <row r="190" spans="1:32" outlineLevel="1" x14ac:dyDescent="0.2">
      <c r="A190" s="26" t="s">
        <v>331</v>
      </c>
      <c r="B190" s="30">
        <v>521</v>
      </c>
      <c r="C190" s="30" t="str">
        <f>LEFT(F190,1)</f>
        <v>4</v>
      </c>
      <c r="D190" s="30" t="str">
        <f>LEFT(F190,2)</f>
        <v>42</v>
      </c>
      <c r="E190" s="26" t="str">
        <f t="shared" si="101"/>
        <v>422</v>
      </c>
      <c r="F190" s="4" t="s">
        <v>27</v>
      </c>
      <c r="G190" s="4" t="s">
        <v>28</v>
      </c>
      <c r="H190" s="4" t="s">
        <v>29</v>
      </c>
      <c r="I190" s="5">
        <v>0</v>
      </c>
      <c r="J190" s="27">
        <f>I190-K190</f>
        <v>510.93</v>
      </c>
      <c r="K190" s="5">
        <v>-510.93</v>
      </c>
      <c r="L190" s="5">
        <v>0</v>
      </c>
      <c r="M190" s="5">
        <v>510.93</v>
      </c>
      <c r="N190" s="5">
        <v>0</v>
      </c>
      <c r="O190" s="5">
        <v>-510.93</v>
      </c>
      <c r="P190" s="6">
        <v>0</v>
      </c>
      <c r="Q190" s="27">
        <f>J190</f>
        <v>510.93</v>
      </c>
      <c r="R190" s="27"/>
      <c r="S190" s="27">
        <f>R190+Q190</f>
        <v>510.93</v>
      </c>
      <c r="T190" s="27">
        <f>U190</f>
        <v>221.98</v>
      </c>
      <c r="U190" s="27">
        <f>AA190+AB190+AC190+AD190</f>
        <v>221.98</v>
      </c>
      <c r="V190" s="27">
        <f>T190-U190</f>
        <v>0</v>
      </c>
      <c r="W190" s="27"/>
      <c r="X190" s="27">
        <f>W190+U190</f>
        <v>221.98</v>
      </c>
      <c r="Y190" s="27">
        <f>T190-X190</f>
        <v>0</v>
      </c>
      <c r="Z190" s="27"/>
      <c r="AA190" s="27">
        <v>221.98</v>
      </c>
      <c r="AB190" s="27"/>
      <c r="AC190" s="27"/>
      <c r="AD190" s="27"/>
      <c r="AF190" s="27">
        <v>221.98</v>
      </c>
    </row>
    <row r="191" spans="1:32" outlineLevel="1" x14ac:dyDescent="0.2">
      <c r="A191" s="26" t="s">
        <v>331</v>
      </c>
      <c r="B191" s="30">
        <v>521</v>
      </c>
      <c r="C191" s="30" t="str">
        <f>LEFT(F191,1)</f>
        <v>4</v>
      </c>
      <c r="D191" s="30" t="str">
        <f>LEFT(F191,2)</f>
        <v>42</v>
      </c>
      <c r="E191" s="26" t="str">
        <f t="shared" si="101"/>
        <v>422</v>
      </c>
      <c r="F191" s="4" t="s">
        <v>30</v>
      </c>
      <c r="G191" s="4" t="s">
        <v>31</v>
      </c>
      <c r="H191" s="4" t="s">
        <v>32</v>
      </c>
      <c r="I191" s="5">
        <v>0</v>
      </c>
      <c r="J191" s="27">
        <f>I191-K191</f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6">
        <v>0</v>
      </c>
      <c r="Q191" s="27">
        <f>J191</f>
        <v>0</v>
      </c>
      <c r="R191" s="27"/>
      <c r="S191" s="27">
        <f>R191+Q191</f>
        <v>0</v>
      </c>
      <c r="T191" s="27">
        <f>U191</f>
        <v>0</v>
      </c>
      <c r="U191" s="27">
        <f>AA191+AB191+AC191+AD191</f>
        <v>0</v>
      </c>
      <c r="V191" s="27">
        <f>T191-U191</f>
        <v>0</v>
      </c>
      <c r="W191" s="27"/>
      <c r="X191" s="27">
        <f>W191+U191</f>
        <v>0</v>
      </c>
      <c r="Y191" s="27">
        <f>T191-X191</f>
        <v>0</v>
      </c>
      <c r="Z191" s="27"/>
      <c r="AA191" s="27"/>
      <c r="AB191" s="27"/>
      <c r="AC191" s="27"/>
      <c r="AD191" s="27"/>
      <c r="AF191" s="27">
        <v>0</v>
      </c>
    </row>
    <row r="192" spans="1:32" outlineLevel="1" x14ac:dyDescent="0.2">
      <c r="A192" s="26" t="s">
        <v>331</v>
      </c>
      <c r="B192" s="30">
        <v>521</v>
      </c>
      <c r="C192" s="30" t="str">
        <f>LEFT(F192,1)</f>
        <v>4</v>
      </c>
      <c r="D192" s="30" t="str">
        <f>LEFT(F192,2)</f>
        <v>42</v>
      </c>
      <c r="E192" s="26" t="str">
        <f t="shared" si="101"/>
        <v>424</v>
      </c>
      <c r="F192" s="4" t="s">
        <v>17</v>
      </c>
      <c r="G192" s="4" t="s">
        <v>33</v>
      </c>
      <c r="H192" s="4" t="s">
        <v>19</v>
      </c>
      <c r="I192" s="5">
        <v>548500</v>
      </c>
      <c r="J192" s="27">
        <f>I192-K192</f>
        <v>391445.64</v>
      </c>
      <c r="K192" s="5">
        <v>157054.35999999999</v>
      </c>
      <c r="L192" s="5">
        <v>0</v>
      </c>
      <c r="M192" s="5">
        <v>391445.64</v>
      </c>
      <c r="N192" s="5">
        <v>0</v>
      </c>
      <c r="O192" s="5">
        <v>157054.35999999999</v>
      </c>
      <c r="P192" s="6">
        <v>0.71399999999999997</v>
      </c>
      <c r="Q192" s="27">
        <f>J192</f>
        <v>391445.64</v>
      </c>
      <c r="R192" s="27"/>
      <c r="S192" s="27">
        <f>R192+Q192</f>
        <v>391445.64</v>
      </c>
      <c r="T192" s="27">
        <f>U192</f>
        <v>701456.57000000007</v>
      </c>
      <c r="U192" s="27">
        <f>AA192+AB192+AC192+AD192</f>
        <v>701456.57000000007</v>
      </c>
      <c r="V192" s="27">
        <f>T192-U192</f>
        <v>0</v>
      </c>
      <c r="W192" s="27">
        <v>-18.63</v>
      </c>
      <c r="X192" s="27">
        <f>W192+U192</f>
        <v>701437.94000000006</v>
      </c>
      <c r="Y192" s="27">
        <f>T192-X192</f>
        <v>18.630000000004657</v>
      </c>
      <c r="Z192" s="27"/>
      <c r="AA192" s="27">
        <v>342542.88</v>
      </c>
      <c r="AB192" s="27">
        <v>319999.93</v>
      </c>
      <c r="AC192" s="27">
        <v>25990.7</v>
      </c>
      <c r="AD192" s="27">
        <v>12923.06</v>
      </c>
      <c r="AF192" s="27">
        <v>701456.57000000007</v>
      </c>
    </row>
    <row r="193" spans="1:32" ht="20.100000000000001" customHeight="1" x14ac:dyDescent="0.2">
      <c r="F193" s="216" t="s">
        <v>34</v>
      </c>
      <c r="G193" s="216"/>
      <c r="H193" s="216"/>
      <c r="I193" s="52">
        <f>SUMIFS(I194:I360,$A194:$A360,"K212401",$B194:$B360,"541")</f>
        <v>800</v>
      </c>
      <c r="J193" s="52">
        <f t="shared" ref="J193:V193" si="110">SUMIFS(J194:J360,$A194:$A360,"K212401",$B194:$B360,"541")</f>
        <v>2221.79</v>
      </c>
      <c r="K193" s="52">
        <f t="shared" si="110"/>
        <v>-1421.79</v>
      </c>
      <c r="L193" s="52">
        <f t="shared" si="110"/>
        <v>0</v>
      </c>
      <c r="M193" s="52">
        <f t="shared" si="110"/>
        <v>2221.79</v>
      </c>
      <c r="N193" s="52">
        <f t="shared" si="110"/>
        <v>0</v>
      </c>
      <c r="O193" s="52">
        <f t="shared" si="110"/>
        <v>-1421.79</v>
      </c>
      <c r="P193" s="53">
        <f t="shared" si="110"/>
        <v>2.7770000000000001</v>
      </c>
      <c r="Q193" s="52">
        <f t="shared" si="110"/>
        <v>2221.79</v>
      </c>
      <c r="R193" s="52">
        <f t="shared" si="110"/>
        <v>0</v>
      </c>
      <c r="S193" s="52">
        <f t="shared" si="110"/>
        <v>2221.79</v>
      </c>
      <c r="T193" s="52">
        <f>SUMIFS(T194:T360,$A194:$A360,"K212401",$B194:$B360,"541")</f>
        <v>2367.77</v>
      </c>
      <c r="U193" s="52">
        <f t="shared" si="110"/>
        <v>2367.77</v>
      </c>
      <c r="V193" s="52">
        <f t="shared" si="110"/>
        <v>0</v>
      </c>
      <c r="W193" s="52">
        <f>SUMIFS(W194:W360,$A194:$A360,"K212401",$B194:$B360,"541")</f>
        <v>0</v>
      </c>
      <c r="X193" s="52">
        <f>SUMIFS(X194:X360,$A194:$A360,"K212401",$B194:$B360,"541")</f>
        <v>2367.77</v>
      </c>
      <c r="Y193" s="52">
        <f>SUMIFS(Y194:Y360,$A194:$A360,"K212401",$B194:$B360,"541")</f>
        <v>0</v>
      </c>
      <c r="Z193" s="52"/>
      <c r="AF193" s="52">
        <v>2367.77</v>
      </c>
    </row>
    <row r="194" spans="1:32" outlineLevel="1" x14ac:dyDescent="0.2">
      <c r="A194" s="26" t="s">
        <v>331</v>
      </c>
      <c r="B194" s="30">
        <v>541</v>
      </c>
      <c r="C194" s="30" t="str">
        <f>LEFT(F194,1)</f>
        <v>4</v>
      </c>
      <c r="D194" s="30" t="str">
        <f>LEFT(F194,2)</f>
        <v>42</v>
      </c>
      <c r="E194" s="26" t="str">
        <f t="shared" si="101"/>
        <v>422</v>
      </c>
      <c r="F194" s="4" t="s">
        <v>27</v>
      </c>
      <c r="G194" s="4" t="s">
        <v>35</v>
      </c>
      <c r="H194" s="4" t="s">
        <v>29</v>
      </c>
      <c r="I194" s="5">
        <v>800</v>
      </c>
      <c r="J194" s="27">
        <f>I194-K194</f>
        <v>2221.79</v>
      </c>
      <c r="K194" s="5">
        <v>-1421.79</v>
      </c>
      <c r="L194" s="5">
        <v>0</v>
      </c>
      <c r="M194" s="5">
        <v>2221.79</v>
      </c>
      <c r="N194" s="5">
        <v>0</v>
      </c>
      <c r="O194" s="5">
        <v>-1421.79</v>
      </c>
      <c r="P194" s="6">
        <v>2.7770000000000001</v>
      </c>
      <c r="Q194" s="27">
        <f>J194</f>
        <v>2221.79</v>
      </c>
      <c r="R194" s="27"/>
      <c r="S194" s="27">
        <f>R194+Q194</f>
        <v>2221.79</v>
      </c>
      <c r="T194" s="27">
        <f>U194</f>
        <v>2221.79</v>
      </c>
      <c r="U194" s="27">
        <v>2221.79</v>
      </c>
      <c r="V194" s="27">
        <f>T194-U194</f>
        <v>0</v>
      </c>
      <c r="W194" s="27"/>
      <c r="X194" s="27">
        <f>W194+U194</f>
        <v>2221.79</v>
      </c>
      <c r="Y194" s="27">
        <f>T194-X194</f>
        <v>0</v>
      </c>
      <c r="Z194" s="27"/>
      <c r="AF194" s="27">
        <v>2221.79</v>
      </c>
    </row>
    <row r="195" spans="1:32" outlineLevel="1" x14ac:dyDescent="0.2">
      <c r="A195" s="26" t="s">
        <v>331</v>
      </c>
      <c r="B195" s="30">
        <v>541</v>
      </c>
      <c r="C195" s="30" t="str">
        <f>LEFT(F195,1)</f>
        <v>4</v>
      </c>
      <c r="D195" s="30" t="str">
        <f>LEFT(F195,2)</f>
        <v>42</v>
      </c>
      <c r="E195" s="26" t="str">
        <f t="shared" si="101"/>
        <v>424</v>
      </c>
      <c r="F195" s="4" t="s">
        <v>17</v>
      </c>
      <c r="G195" s="4" t="s">
        <v>36</v>
      </c>
      <c r="H195" s="4" t="s">
        <v>19</v>
      </c>
      <c r="I195" s="5">
        <v>0</v>
      </c>
      <c r="J195" s="27">
        <f>I195-K195</f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6">
        <v>0</v>
      </c>
      <c r="Q195" s="27">
        <f>J195</f>
        <v>0</v>
      </c>
      <c r="R195" s="27"/>
      <c r="S195" s="27">
        <f>R195+Q195</f>
        <v>0</v>
      </c>
      <c r="T195" s="27">
        <f>U195</f>
        <v>145.97999999999999</v>
      </c>
      <c r="U195" s="27">
        <v>145.97999999999999</v>
      </c>
      <c r="V195" s="27">
        <f>T195-U195</f>
        <v>0</v>
      </c>
      <c r="W195" s="27"/>
      <c r="X195" s="27">
        <f>W195+U195</f>
        <v>145.97999999999999</v>
      </c>
      <c r="Y195" s="27">
        <f>T195-X195</f>
        <v>0</v>
      </c>
      <c r="Z195" s="27"/>
      <c r="AF195" s="27">
        <v>145.97999999999999</v>
      </c>
    </row>
    <row r="196" spans="1:32" ht="20.100000000000001" customHeight="1" x14ac:dyDescent="0.2">
      <c r="F196" s="216" t="s">
        <v>37</v>
      </c>
      <c r="G196" s="216"/>
      <c r="H196" s="216"/>
      <c r="I196" s="52">
        <f>SUMIFS(I197:I363,$A197:$A363,"K212401",$B197:$B363,"571")</f>
        <v>0</v>
      </c>
      <c r="J196" s="52">
        <f t="shared" ref="J196:V196" si="111">SUMIFS(J197:J363,$A197:$A363,"K212401",$B197:$B363,"571")</f>
        <v>0</v>
      </c>
      <c r="K196" s="52">
        <f t="shared" si="111"/>
        <v>0</v>
      </c>
      <c r="L196" s="52">
        <f t="shared" si="111"/>
        <v>0</v>
      </c>
      <c r="M196" s="52">
        <f t="shared" si="111"/>
        <v>0</v>
      </c>
      <c r="N196" s="52">
        <f t="shared" si="111"/>
        <v>0</v>
      </c>
      <c r="O196" s="52">
        <f t="shared" si="111"/>
        <v>0</v>
      </c>
      <c r="P196" s="53">
        <f t="shared" si="111"/>
        <v>0</v>
      </c>
      <c r="Q196" s="52">
        <f t="shared" si="111"/>
        <v>0</v>
      </c>
      <c r="R196" s="52">
        <f t="shared" si="111"/>
        <v>0</v>
      </c>
      <c r="S196" s="52">
        <f t="shared" si="111"/>
        <v>0</v>
      </c>
      <c r="T196" s="52">
        <f>SUMIFS(T197:T363,$A197:$A363,"K212401",$B197:$B363,"571")</f>
        <v>0</v>
      </c>
      <c r="U196" s="52">
        <f t="shared" si="111"/>
        <v>0</v>
      </c>
      <c r="V196" s="52">
        <f t="shared" si="111"/>
        <v>0</v>
      </c>
      <c r="W196" s="52">
        <f>SUMIFS(W197:W363,$A197:$A363,"K212401",$B197:$B363,"571")</f>
        <v>0</v>
      </c>
      <c r="X196" s="52">
        <f>SUMIFS(X197:X363,$A197:$A363,"K212401",$B197:$B363,"571")</f>
        <v>0</v>
      </c>
      <c r="Y196" s="52">
        <f>SUMIFS(Y197:Y363,$A197:$A363,"K212401",$B197:$B363,"571")</f>
        <v>0</v>
      </c>
      <c r="Z196" s="52"/>
      <c r="AF196" s="52">
        <v>0</v>
      </c>
    </row>
    <row r="197" spans="1:32" outlineLevel="1" x14ac:dyDescent="0.2">
      <c r="A197" s="26" t="s">
        <v>331</v>
      </c>
      <c r="B197" s="30">
        <v>571</v>
      </c>
      <c r="C197" s="30" t="str">
        <f>LEFT(F197,1)</f>
        <v>3</v>
      </c>
      <c r="D197" s="30" t="str">
        <f>LEFT(F197,2)</f>
        <v>32</v>
      </c>
      <c r="E197" s="26" t="str">
        <f t="shared" si="101"/>
        <v>323</v>
      </c>
      <c r="F197" s="4" t="s">
        <v>38</v>
      </c>
      <c r="G197" s="4" t="s">
        <v>39</v>
      </c>
      <c r="H197" s="4" t="s">
        <v>40</v>
      </c>
      <c r="I197" s="5">
        <v>0</v>
      </c>
      <c r="J197" s="27">
        <f>I197-K197</f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6">
        <v>0</v>
      </c>
      <c r="Q197" s="27">
        <f>J197</f>
        <v>0</v>
      </c>
      <c r="R197" s="27"/>
      <c r="S197" s="27">
        <f>R197+Q197</f>
        <v>0</v>
      </c>
      <c r="T197" s="27">
        <f>U197</f>
        <v>0</v>
      </c>
      <c r="U197" s="27"/>
      <c r="V197" s="27">
        <f>T197-U197</f>
        <v>0</v>
      </c>
      <c r="W197" s="27"/>
      <c r="X197" s="27">
        <f>W197+U197</f>
        <v>0</v>
      </c>
      <c r="Y197" s="27">
        <f>W197-X197</f>
        <v>0</v>
      </c>
      <c r="Z197" s="27"/>
      <c r="AF197" s="27">
        <v>0</v>
      </c>
    </row>
    <row r="198" spans="1:32" outlineLevel="1" x14ac:dyDescent="0.2">
      <c r="A198" s="26" t="s">
        <v>331</v>
      </c>
      <c r="B198" s="30">
        <v>571</v>
      </c>
      <c r="C198" s="30" t="str">
        <f>LEFT(F198,1)</f>
        <v>3</v>
      </c>
      <c r="D198" s="30" t="str">
        <f>LEFT(F198,2)</f>
        <v>32</v>
      </c>
      <c r="E198" s="26" t="str">
        <f t="shared" si="101"/>
        <v>323</v>
      </c>
      <c r="F198" s="4" t="s">
        <v>41</v>
      </c>
      <c r="G198" s="4" t="s">
        <v>42</v>
      </c>
      <c r="H198" s="4" t="s">
        <v>43</v>
      </c>
      <c r="I198" s="5">
        <v>0</v>
      </c>
      <c r="J198" s="27">
        <f>I198-K198</f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6">
        <v>0</v>
      </c>
      <c r="Q198" s="27">
        <f>J198</f>
        <v>0</v>
      </c>
      <c r="R198" s="27"/>
      <c r="S198" s="27">
        <f>R198+Q198</f>
        <v>0</v>
      </c>
      <c r="T198" s="27">
        <f>U198</f>
        <v>0</v>
      </c>
      <c r="U198" s="27"/>
      <c r="V198" s="27">
        <f>T198-U198</f>
        <v>0</v>
      </c>
      <c r="W198" s="27"/>
      <c r="X198" s="27">
        <f>W198+U198</f>
        <v>0</v>
      </c>
      <c r="Y198" s="27">
        <f>W198-X198</f>
        <v>0</v>
      </c>
      <c r="Z198" s="27"/>
      <c r="AF198" s="27">
        <v>0</v>
      </c>
    </row>
    <row r="199" spans="1:32" outlineLevel="1" x14ac:dyDescent="0.2">
      <c r="A199" s="26" t="s">
        <v>331</v>
      </c>
      <c r="B199" s="30">
        <v>571</v>
      </c>
      <c r="C199" s="30" t="str">
        <f>LEFT(F199,1)</f>
        <v>4</v>
      </c>
      <c r="D199" s="30" t="str">
        <f>LEFT(F199,2)</f>
        <v>45</v>
      </c>
      <c r="E199" s="26" t="str">
        <f t="shared" si="101"/>
        <v>451</v>
      </c>
      <c r="F199" s="4" t="s">
        <v>23</v>
      </c>
      <c r="G199" s="4" t="s">
        <v>44</v>
      </c>
      <c r="H199" s="4" t="s">
        <v>25</v>
      </c>
      <c r="I199" s="5">
        <v>0</v>
      </c>
      <c r="J199" s="27">
        <f>I199-K199</f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6">
        <v>0</v>
      </c>
      <c r="Q199" s="27">
        <f>J199</f>
        <v>0</v>
      </c>
      <c r="R199" s="27"/>
      <c r="S199" s="27">
        <f>R199+Q199</f>
        <v>0</v>
      </c>
      <c r="T199" s="27">
        <f>U199</f>
        <v>0</v>
      </c>
      <c r="U199" s="27"/>
      <c r="V199" s="27">
        <f>T199-U199</f>
        <v>0</v>
      </c>
      <c r="W199" s="27"/>
      <c r="X199" s="27">
        <f>W199+U199</f>
        <v>0</v>
      </c>
      <c r="Y199" s="27">
        <f>W199-X199</f>
        <v>0</v>
      </c>
      <c r="Z199" s="27"/>
      <c r="AA199" s="55" t="s">
        <v>352</v>
      </c>
      <c r="AB199" s="55">
        <v>614</v>
      </c>
      <c r="AF199" s="27">
        <v>0</v>
      </c>
    </row>
    <row r="200" spans="1:32" ht="20.100000000000001" customHeight="1" x14ac:dyDescent="0.2">
      <c r="F200" s="216" t="s">
        <v>45</v>
      </c>
      <c r="G200" s="216"/>
      <c r="H200" s="216"/>
      <c r="I200" s="52">
        <f>SUMIFS(I201:I367,$A201:$A367,"K212401",$B201:$B367,"611")</f>
        <v>100000</v>
      </c>
      <c r="J200" s="52">
        <f t="shared" ref="J200:V200" si="112">SUMIFS(J201:J367,$A201:$A367,"K212401",$B201:$B367,"611")</f>
        <v>0</v>
      </c>
      <c r="K200" s="52">
        <f t="shared" si="112"/>
        <v>100000</v>
      </c>
      <c r="L200" s="52">
        <f t="shared" si="112"/>
        <v>0</v>
      </c>
      <c r="M200" s="52">
        <f t="shared" si="112"/>
        <v>0</v>
      </c>
      <c r="N200" s="52">
        <f t="shared" si="112"/>
        <v>0</v>
      </c>
      <c r="O200" s="52">
        <f t="shared" si="112"/>
        <v>100000</v>
      </c>
      <c r="P200" s="53">
        <f t="shared" si="112"/>
        <v>0</v>
      </c>
      <c r="Q200" s="52">
        <f t="shared" si="112"/>
        <v>0</v>
      </c>
      <c r="R200" s="52">
        <f t="shared" si="112"/>
        <v>0</v>
      </c>
      <c r="S200" s="52">
        <f t="shared" si="112"/>
        <v>0</v>
      </c>
      <c r="T200" s="52">
        <f>SUMIFS(T201:T367,$A201:$A367,"K212401",$B201:$B367,"611")</f>
        <v>94041.19</v>
      </c>
      <c r="U200" s="52">
        <f t="shared" si="112"/>
        <v>94041.19</v>
      </c>
      <c r="V200" s="52">
        <f t="shared" si="112"/>
        <v>0</v>
      </c>
      <c r="W200" s="52">
        <f>SUMIFS(W201:W367,$A201:$A367,"K212401",$B201:$B367,"611")</f>
        <v>0</v>
      </c>
      <c r="X200" s="52">
        <f>SUMIFS(X201:X367,$A201:$A367,"K212401",$B201:$B367,"611")</f>
        <v>94041.19</v>
      </c>
      <c r="Y200" s="52">
        <f>SUMIFS(Y201:Y367,$A201:$A367,"K212401",$B201:$B367,"611")</f>
        <v>0</v>
      </c>
      <c r="Z200" s="52"/>
      <c r="AA200" s="52">
        <f>SUMIFS(AA201:AA367,$A201:$A367,"K212401",$B201:$B367,"611")</f>
        <v>149</v>
      </c>
      <c r="AB200" s="52">
        <f>SUMIFS(AB201:AB367,$A201:$A367,"K212401",$B201:$B367,"611")</f>
        <v>93892.19</v>
      </c>
      <c r="AF200" s="52">
        <v>94041.19</v>
      </c>
    </row>
    <row r="201" spans="1:32" outlineLevel="1" x14ac:dyDescent="0.2">
      <c r="A201" s="26" t="s">
        <v>331</v>
      </c>
      <c r="B201" s="30">
        <v>611</v>
      </c>
      <c r="C201" s="30" t="str">
        <f>LEFT(F201,1)</f>
        <v>4</v>
      </c>
      <c r="D201" s="30" t="str">
        <f>LEFT(F201,2)</f>
        <v>42</v>
      </c>
      <c r="E201" s="26" t="str">
        <f t="shared" si="101"/>
        <v>422</v>
      </c>
      <c r="F201" s="4" t="s">
        <v>27</v>
      </c>
      <c r="G201" s="4" t="s">
        <v>46</v>
      </c>
      <c r="H201" s="4" t="s">
        <v>29</v>
      </c>
      <c r="I201" s="5">
        <v>0</v>
      </c>
      <c r="J201" s="27">
        <f>I201-K201</f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6">
        <v>0</v>
      </c>
      <c r="Q201" s="27">
        <f>J201</f>
        <v>0</v>
      </c>
      <c r="R201" s="27"/>
      <c r="S201" s="27">
        <f>R201+Q201</f>
        <v>0</v>
      </c>
      <c r="T201" s="27">
        <f>U201</f>
        <v>0</v>
      </c>
      <c r="U201" s="27">
        <f>AA201+AB201</f>
        <v>0</v>
      </c>
      <c r="V201" s="27">
        <f>T201-U201</f>
        <v>0</v>
      </c>
      <c r="W201" s="27"/>
      <c r="X201" s="27">
        <f>W201+U201</f>
        <v>0</v>
      </c>
      <c r="Y201" s="27">
        <f>T201-X201</f>
        <v>0</v>
      </c>
      <c r="Z201" s="27"/>
      <c r="AA201" s="27"/>
      <c r="AB201" s="27"/>
      <c r="AF201" s="27">
        <v>0</v>
      </c>
    </row>
    <row r="202" spans="1:32" outlineLevel="1" x14ac:dyDescent="0.2">
      <c r="A202" s="26" t="s">
        <v>331</v>
      </c>
      <c r="B202" s="30">
        <v>611</v>
      </c>
      <c r="C202" s="30" t="str">
        <f>LEFT(F202,1)</f>
        <v>4</v>
      </c>
      <c r="D202" s="30" t="str">
        <f>LEFT(F202,2)</f>
        <v>42</v>
      </c>
      <c r="E202" s="26" t="str">
        <f t="shared" si="101"/>
        <v>424</v>
      </c>
      <c r="F202" s="4" t="s">
        <v>17</v>
      </c>
      <c r="G202" s="4" t="s">
        <v>47</v>
      </c>
      <c r="H202" s="4" t="s">
        <v>19</v>
      </c>
      <c r="I202" s="5">
        <v>100000</v>
      </c>
      <c r="J202" s="27">
        <f>I202-K202</f>
        <v>0</v>
      </c>
      <c r="K202" s="5">
        <v>100000</v>
      </c>
      <c r="L202" s="5">
        <v>0</v>
      </c>
      <c r="M202" s="5">
        <v>0</v>
      </c>
      <c r="N202" s="5">
        <v>0</v>
      </c>
      <c r="O202" s="5">
        <v>100000</v>
      </c>
      <c r="P202" s="6">
        <v>0</v>
      </c>
      <c r="Q202" s="27">
        <f>J202</f>
        <v>0</v>
      </c>
      <c r="R202" s="27"/>
      <c r="S202" s="27">
        <f>R202+Q202</f>
        <v>0</v>
      </c>
      <c r="T202" s="27">
        <f>U202</f>
        <v>94041.19</v>
      </c>
      <c r="U202" s="27">
        <f>AA202+AB202</f>
        <v>94041.19</v>
      </c>
      <c r="V202" s="27">
        <f>T202-U202</f>
        <v>0</v>
      </c>
      <c r="W202" s="27"/>
      <c r="X202" s="27">
        <f>W202+U202</f>
        <v>94041.19</v>
      </c>
      <c r="Y202" s="27">
        <f>T202-X202</f>
        <v>0</v>
      </c>
      <c r="Z202" s="27"/>
      <c r="AA202" s="27">
        <v>149</v>
      </c>
      <c r="AB202" s="27">
        <v>93892.19</v>
      </c>
      <c r="AF202" s="27">
        <v>94041.19</v>
      </c>
    </row>
    <row r="203" spans="1:32" ht="20.100000000000001" customHeight="1" x14ac:dyDescent="0.2">
      <c r="F203" s="216" t="s">
        <v>48</v>
      </c>
      <c r="G203" s="216"/>
      <c r="H203" s="216"/>
      <c r="I203" s="52">
        <f>SUMIFS(I204:I370,$A204:$A370,"K212401",$B204:$B370,"711")</f>
        <v>1300</v>
      </c>
      <c r="J203" s="52">
        <f t="shared" ref="J203:V203" si="113">SUMIFS(J204:J370,$A204:$A370,"K212401",$B204:$B370,"711")</f>
        <v>0</v>
      </c>
      <c r="K203" s="52">
        <f t="shared" si="113"/>
        <v>1300</v>
      </c>
      <c r="L203" s="52">
        <f t="shared" si="113"/>
        <v>0</v>
      </c>
      <c r="M203" s="52">
        <f t="shared" si="113"/>
        <v>0</v>
      </c>
      <c r="N203" s="52">
        <f t="shared" si="113"/>
        <v>0</v>
      </c>
      <c r="O203" s="52">
        <f t="shared" si="113"/>
        <v>1300</v>
      </c>
      <c r="P203" s="53">
        <f t="shared" si="113"/>
        <v>0</v>
      </c>
      <c r="Q203" s="52">
        <f t="shared" si="113"/>
        <v>0</v>
      </c>
      <c r="R203" s="52">
        <f t="shared" si="113"/>
        <v>0</v>
      </c>
      <c r="S203" s="52">
        <f t="shared" si="113"/>
        <v>0</v>
      </c>
      <c r="T203" s="52">
        <f>SUMIFS(T204:T370,$A204:$A370,"K212401",$B204:$B370,"711")</f>
        <v>0</v>
      </c>
      <c r="U203" s="52">
        <f t="shared" si="113"/>
        <v>0</v>
      </c>
      <c r="V203" s="52">
        <f t="shared" si="113"/>
        <v>0</v>
      </c>
      <c r="W203" s="52">
        <f>SUMIFS(W204:W370,$A204:$A370,"K212401",$B204:$B370,"711")</f>
        <v>0</v>
      </c>
      <c r="X203" s="52">
        <f>SUMIFS(X204:X370,$A204:$A370,"K212401",$B204:$B370,"711")</f>
        <v>0</v>
      </c>
      <c r="Y203" s="52">
        <f>SUMIFS(Y204:Y370,$A204:$A370,"K212401",$B204:$B370,"711")</f>
        <v>0</v>
      </c>
      <c r="Z203" s="52"/>
      <c r="AF203" s="52">
        <v>0</v>
      </c>
    </row>
    <row r="204" spans="1:32" outlineLevel="1" x14ac:dyDescent="0.2">
      <c r="A204" s="26" t="s">
        <v>331</v>
      </c>
      <c r="B204" s="30">
        <v>711</v>
      </c>
      <c r="C204" s="30" t="str">
        <f>LEFT(F204,1)</f>
        <v>4</v>
      </c>
      <c r="D204" s="30" t="str">
        <f>LEFT(F204,2)</f>
        <v>42</v>
      </c>
      <c r="E204" s="26" t="str">
        <f t="shared" si="101"/>
        <v>422</v>
      </c>
      <c r="F204" s="4" t="s">
        <v>27</v>
      </c>
      <c r="G204" s="4" t="s">
        <v>49</v>
      </c>
      <c r="H204" s="4" t="s">
        <v>29</v>
      </c>
      <c r="I204" s="5">
        <v>1300</v>
      </c>
      <c r="J204" s="27">
        <f>I204-K204</f>
        <v>0</v>
      </c>
      <c r="K204" s="5">
        <v>1300</v>
      </c>
      <c r="L204" s="5">
        <v>0</v>
      </c>
      <c r="M204" s="5">
        <v>0</v>
      </c>
      <c r="N204" s="5">
        <v>0</v>
      </c>
      <c r="O204" s="5">
        <v>1300</v>
      </c>
      <c r="P204" s="6">
        <v>0</v>
      </c>
      <c r="Q204" s="27">
        <f>J204</f>
        <v>0</v>
      </c>
      <c r="R204" s="27"/>
      <c r="S204" s="27">
        <f>R204+Q204</f>
        <v>0</v>
      </c>
      <c r="T204" s="27">
        <f>U204</f>
        <v>0</v>
      </c>
      <c r="U204" s="27"/>
      <c r="V204" s="27">
        <f>T204-U204</f>
        <v>0</v>
      </c>
      <c r="W204" s="27"/>
      <c r="X204" s="27">
        <f>W204+U204</f>
        <v>0</v>
      </c>
      <c r="Y204" s="27">
        <f>T204-X204</f>
        <v>0</v>
      </c>
      <c r="Z204" s="27"/>
      <c r="AF204" s="27">
        <v>0</v>
      </c>
    </row>
    <row r="205" spans="1:32" ht="35.1" hidden="1" customHeight="1" x14ac:dyDescent="0.2">
      <c r="F205" s="222" t="s">
        <v>344</v>
      </c>
      <c r="G205" s="222"/>
      <c r="H205" s="222"/>
      <c r="I205" s="39"/>
      <c r="J205" s="39"/>
      <c r="K205" s="39"/>
      <c r="L205" s="39"/>
      <c r="M205" s="39"/>
      <c r="N205" s="39"/>
      <c r="O205" s="39"/>
      <c r="P205" s="40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F205" s="39"/>
    </row>
  </sheetData>
  <autoFilter ref="F12:X205">
    <filterColumn colId="17">
      <customFilters>
        <customFilter operator="notEqual" val=" "/>
      </customFilters>
    </filterColumn>
  </autoFilter>
  <mergeCells count="36">
    <mergeCell ref="F1:I1"/>
    <mergeCell ref="F2:I2"/>
    <mergeCell ref="F3:H3"/>
    <mergeCell ref="F7:H8"/>
    <mergeCell ref="F9:H9"/>
    <mergeCell ref="F10:H10"/>
    <mergeCell ref="F11:H11"/>
    <mergeCell ref="F37:H37"/>
    <mergeCell ref="F39:H39"/>
    <mergeCell ref="F137:H137"/>
    <mergeCell ref="F109:H109"/>
    <mergeCell ref="F111:H111"/>
    <mergeCell ref="F112:H112"/>
    <mergeCell ref="F124:H124"/>
    <mergeCell ref="F66:H66"/>
    <mergeCell ref="F95:H95"/>
    <mergeCell ref="F101:H101"/>
    <mergeCell ref="F155:H155"/>
    <mergeCell ref="F196:H196"/>
    <mergeCell ref="F200:H200"/>
    <mergeCell ref="F163:H163"/>
    <mergeCell ref="F164:H164"/>
    <mergeCell ref="F166:H166"/>
    <mergeCell ref="F167:H167"/>
    <mergeCell ref="F170:H170"/>
    <mergeCell ref="F205:H205"/>
    <mergeCell ref="F171:H171"/>
    <mergeCell ref="F179:H179"/>
    <mergeCell ref="F189:H189"/>
    <mergeCell ref="F193:H193"/>
    <mergeCell ref="F203:H203"/>
    <mergeCell ref="U2:U4"/>
    <mergeCell ref="W2:W4"/>
    <mergeCell ref="X2:X4"/>
    <mergeCell ref="V2:V4"/>
    <mergeCell ref="Y2:Y4"/>
  </mergeCells>
  <pageMargins left="0" right="0" top="0" bottom="0.39375000000000004" header="0" footer="0"/>
  <pageSetup paperSize="9" orientation="portrait" r:id="rId1"/>
  <headerFooter alignWithMargins="0">
    <oddFooter xml:space="preserve">&amp;L&amp;"Arial"&amp;8 Lista: LCW147TREW &amp;C&amp;"Arial"&amp;8 Stranica 
&amp;B&amp;P&amp;B &amp;R&amp;"Arial"&amp;8 * OBRADA LC *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opLeftCell="A13" zoomScaleNormal="100" workbookViewId="0">
      <selection activeCell="E49" sqref="E49"/>
    </sheetView>
  </sheetViews>
  <sheetFormatPr defaultRowHeight="12.75" outlineLevelRow="1" x14ac:dyDescent="0.2"/>
  <cols>
    <col min="1" max="1" width="18.7109375" style="67" customWidth="1"/>
    <col min="2" max="2" width="12.85546875" style="67" customWidth="1"/>
    <col min="3" max="3" width="78.42578125" style="67" customWidth="1"/>
    <col min="4" max="4" width="12" style="67" bestFit="1" customWidth="1"/>
    <col min="5" max="5" width="13.140625" style="67" customWidth="1"/>
    <col min="6" max="6" width="7.7109375" style="67" customWidth="1"/>
    <col min="7" max="256" width="9.140625" style="67"/>
    <col min="257" max="257" width="18.7109375" style="67" customWidth="1"/>
    <col min="258" max="258" width="12.85546875" style="67" customWidth="1"/>
    <col min="259" max="259" width="78.42578125" style="67" customWidth="1"/>
    <col min="260" max="260" width="11.5703125" style="67" customWidth="1"/>
    <col min="261" max="261" width="13.140625" style="67" customWidth="1"/>
    <col min="262" max="262" width="7.7109375" style="67" customWidth="1"/>
    <col min="263" max="512" width="9.140625" style="67"/>
    <col min="513" max="513" width="18.7109375" style="67" customWidth="1"/>
    <col min="514" max="514" width="12.85546875" style="67" customWidth="1"/>
    <col min="515" max="515" width="78.42578125" style="67" customWidth="1"/>
    <col min="516" max="516" width="11.5703125" style="67" customWidth="1"/>
    <col min="517" max="517" width="13.140625" style="67" customWidth="1"/>
    <col min="518" max="518" width="7.7109375" style="67" customWidth="1"/>
    <col min="519" max="768" width="9.140625" style="67"/>
    <col min="769" max="769" width="18.7109375" style="67" customWidth="1"/>
    <col min="770" max="770" width="12.85546875" style="67" customWidth="1"/>
    <col min="771" max="771" width="78.42578125" style="67" customWidth="1"/>
    <col min="772" max="772" width="11.5703125" style="67" customWidth="1"/>
    <col min="773" max="773" width="13.140625" style="67" customWidth="1"/>
    <col min="774" max="774" width="7.7109375" style="67" customWidth="1"/>
    <col min="775" max="1024" width="9.140625" style="67"/>
    <col min="1025" max="1025" width="18.7109375" style="67" customWidth="1"/>
    <col min="1026" max="1026" width="12.85546875" style="67" customWidth="1"/>
    <col min="1027" max="1027" width="78.42578125" style="67" customWidth="1"/>
    <col min="1028" max="1028" width="11.5703125" style="67" customWidth="1"/>
    <col min="1029" max="1029" width="13.140625" style="67" customWidth="1"/>
    <col min="1030" max="1030" width="7.7109375" style="67" customWidth="1"/>
    <col min="1031" max="1280" width="9.140625" style="67"/>
    <col min="1281" max="1281" width="18.7109375" style="67" customWidth="1"/>
    <col min="1282" max="1282" width="12.85546875" style="67" customWidth="1"/>
    <col min="1283" max="1283" width="78.42578125" style="67" customWidth="1"/>
    <col min="1284" max="1284" width="11.5703125" style="67" customWidth="1"/>
    <col min="1285" max="1285" width="13.140625" style="67" customWidth="1"/>
    <col min="1286" max="1286" width="7.7109375" style="67" customWidth="1"/>
    <col min="1287" max="1536" width="9.140625" style="67"/>
    <col min="1537" max="1537" width="18.7109375" style="67" customWidth="1"/>
    <col min="1538" max="1538" width="12.85546875" style="67" customWidth="1"/>
    <col min="1539" max="1539" width="78.42578125" style="67" customWidth="1"/>
    <col min="1540" max="1540" width="11.5703125" style="67" customWidth="1"/>
    <col min="1541" max="1541" width="13.140625" style="67" customWidth="1"/>
    <col min="1542" max="1542" width="7.7109375" style="67" customWidth="1"/>
    <col min="1543" max="1792" width="9.140625" style="67"/>
    <col min="1793" max="1793" width="18.7109375" style="67" customWidth="1"/>
    <col min="1794" max="1794" width="12.85546875" style="67" customWidth="1"/>
    <col min="1795" max="1795" width="78.42578125" style="67" customWidth="1"/>
    <col min="1796" max="1796" width="11.5703125" style="67" customWidth="1"/>
    <col min="1797" max="1797" width="13.140625" style="67" customWidth="1"/>
    <col min="1798" max="1798" width="7.7109375" style="67" customWidth="1"/>
    <col min="1799" max="2048" width="9.140625" style="67"/>
    <col min="2049" max="2049" width="18.7109375" style="67" customWidth="1"/>
    <col min="2050" max="2050" width="12.85546875" style="67" customWidth="1"/>
    <col min="2051" max="2051" width="78.42578125" style="67" customWidth="1"/>
    <col min="2052" max="2052" width="11.5703125" style="67" customWidth="1"/>
    <col min="2053" max="2053" width="13.140625" style="67" customWidth="1"/>
    <col min="2054" max="2054" width="7.7109375" style="67" customWidth="1"/>
    <col min="2055" max="2304" width="9.140625" style="67"/>
    <col min="2305" max="2305" width="18.7109375" style="67" customWidth="1"/>
    <col min="2306" max="2306" width="12.85546875" style="67" customWidth="1"/>
    <col min="2307" max="2307" width="78.42578125" style="67" customWidth="1"/>
    <col min="2308" max="2308" width="11.5703125" style="67" customWidth="1"/>
    <col min="2309" max="2309" width="13.140625" style="67" customWidth="1"/>
    <col min="2310" max="2310" width="7.7109375" style="67" customWidth="1"/>
    <col min="2311" max="2560" width="9.140625" style="67"/>
    <col min="2561" max="2561" width="18.7109375" style="67" customWidth="1"/>
    <col min="2562" max="2562" width="12.85546875" style="67" customWidth="1"/>
    <col min="2563" max="2563" width="78.42578125" style="67" customWidth="1"/>
    <col min="2564" max="2564" width="11.5703125" style="67" customWidth="1"/>
    <col min="2565" max="2565" width="13.140625" style="67" customWidth="1"/>
    <col min="2566" max="2566" width="7.7109375" style="67" customWidth="1"/>
    <col min="2567" max="2816" width="9.140625" style="67"/>
    <col min="2817" max="2817" width="18.7109375" style="67" customWidth="1"/>
    <col min="2818" max="2818" width="12.85546875" style="67" customWidth="1"/>
    <col min="2819" max="2819" width="78.42578125" style="67" customWidth="1"/>
    <col min="2820" max="2820" width="11.5703125" style="67" customWidth="1"/>
    <col min="2821" max="2821" width="13.140625" style="67" customWidth="1"/>
    <col min="2822" max="2822" width="7.7109375" style="67" customWidth="1"/>
    <col min="2823" max="3072" width="9.140625" style="67"/>
    <col min="3073" max="3073" width="18.7109375" style="67" customWidth="1"/>
    <col min="3074" max="3074" width="12.85546875" style="67" customWidth="1"/>
    <col min="3075" max="3075" width="78.42578125" style="67" customWidth="1"/>
    <col min="3076" max="3076" width="11.5703125" style="67" customWidth="1"/>
    <col min="3077" max="3077" width="13.140625" style="67" customWidth="1"/>
    <col min="3078" max="3078" width="7.7109375" style="67" customWidth="1"/>
    <col min="3079" max="3328" width="9.140625" style="67"/>
    <col min="3329" max="3329" width="18.7109375" style="67" customWidth="1"/>
    <col min="3330" max="3330" width="12.85546875" style="67" customWidth="1"/>
    <col min="3331" max="3331" width="78.42578125" style="67" customWidth="1"/>
    <col min="3332" max="3332" width="11.5703125" style="67" customWidth="1"/>
    <col min="3333" max="3333" width="13.140625" style="67" customWidth="1"/>
    <col min="3334" max="3334" width="7.7109375" style="67" customWidth="1"/>
    <col min="3335" max="3584" width="9.140625" style="67"/>
    <col min="3585" max="3585" width="18.7109375" style="67" customWidth="1"/>
    <col min="3586" max="3586" width="12.85546875" style="67" customWidth="1"/>
    <col min="3587" max="3587" width="78.42578125" style="67" customWidth="1"/>
    <col min="3588" max="3588" width="11.5703125" style="67" customWidth="1"/>
    <col min="3589" max="3589" width="13.140625" style="67" customWidth="1"/>
    <col min="3590" max="3590" width="7.7109375" style="67" customWidth="1"/>
    <col min="3591" max="3840" width="9.140625" style="67"/>
    <col min="3841" max="3841" width="18.7109375" style="67" customWidth="1"/>
    <col min="3842" max="3842" width="12.85546875" style="67" customWidth="1"/>
    <col min="3843" max="3843" width="78.42578125" style="67" customWidth="1"/>
    <col min="3844" max="3844" width="11.5703125" style="67" customWidth="1"/>
    <col min="3845" max="3845" width="13.140625" style="67" customWidth="1"/>
    <col min="3846" max="3846" width="7.7109375" style="67" customWidth="1"/>
    <col min="3847" max="4096" width="9.140625" style="67"/>
    <col min="4097" max="4097" width="18.7109375" style="67" customWidth="1"/>
    <col min="4098" max="4098" width="12.85546875" style="67" customWidth="1"/>
    <col min="4099" max="4099" width="78.42578125" style="67" customWidth="1"/>
    <col min="4100" max="4100" width="11.5703125" style="67" customWidth="1"/>
    <col min="4101" max="4101" width="13.140625" style="67" customWidth="1"/>
    <col min="4102" max="4102" width="7.7109375" style="67" customWidth="1"/>
    <col min="4103" max="4352" width="9.140625" style="67"/>
    <col min="4353" max="4353" width="18.7109375" style="67" customWidth="1"/>
    <col min="4354" max="4354" width="12.85546875" style="67" customWidth="1"/>
    <col min="4355" max="4355" width="78.42578125" style="67" customWidth="1"/>
    <col min="4356" max="4356" width="11.5703125" style="67" customWidth="1"/>
    <col min="4357" max="4357" width="13.140625" style="67" customWidth="1"/>
    <col min="4358" max="4358" width="7.7109375" style="67" customWidth="1"/>
    <col min="4359" max="4608" width="9.140625" style="67"/>
    <col min="4609" max="4609" width="18.7109375" style="67" customWidth="1"/>
    <col min="4610" max="4610" width="12.85546875" style="67" customWidth="1"/>
    <col min="4611" max="4611" width="78.42578125" style="67" customWidth="1"/>
    <col min="4612" max="4612" width="11.5703125" style="67" customWidth="1"/>
    <col min="4613" max="4613" width="13.140625" style="67" customWidth="1"/>
    <col min="4614" max="4614" width="7.7109375" style="67" customWidth="1"/>
    <col min="4615" max="4864" width="9.140625" style="67"/>
    <col min="4865" max="4865" width="18.7109375" style="67" customWidth="1"/>
    <col min="4866" max="4866" width="12.85546875" style="67" customWidth="1"/>
    <col min="4867" max="4867" width="78.42578125" style="67" customWidth="1"/>
    <col min="4868" max="4868" width="11.5703125" style="67" customWidth="1"/>
    <col min="4869" max="4869" width="13.140625" style="67" customWidth="1"/>
    <col min="4870" max="4870" width="7.7109375" style="67" customWidth="1"/>
    <col min="4871" max="5120" width="9.140625" style="67"/>
    <col min="5121" max="5121" width="18.7109375" style="67" customWidth="1"/>
    <col min="5122" max="5122" width="12.85546875" style="67" customWidth="1"/>
    <col min="5123" max="5123" width="78.42578125" style="67" customWidth="1"/>
    <col min="5124" max="5124" width="11.5703125" style="67" customWidth="1"/>
    <col min="5125" max="5125" width="13.140625" style="67" customWidth="1"/>
    <col min="5126" max="5126" width="7.7109375" style="67" customWidth="1"/>
    <col min="5127" max="5376" width="9.140625" style="67"/>
    <col min="5377" max="5377" width="18.7109375" style="67" customWidth="1"/>
    <col min="5378" max="5378" width="12.85546875" style="67" customWidth="1"/>
    <col min="5379" max="5379" width="78.42578125" style="67" customWidth="1"/>
    <col min="5380" max="5380" width="11.5703125" style="67" customWidth="1"/>
    <col min="5381" max="5381" width="13.140625" style="67" customWidth="1"/>
    <col min="5382" max="5382" width="7.7109375" style="67" customWidth="1"/>
    <col min="5383" max="5632" width="9.140625" style="67"/>
    <col min="5633" max="5633" width="18.7109375" style="67" customWidth="1"/>
    <col min="5634" max="5634" width="12.85546875" style="67" customWidth="1"/>
    <col min="5635" max="5635" width="78.42578125" style="67" customWidth="1"/>
    <col min="5636" max="5636" width="11.5703125" style="67" customWidth="1"/>
    <col min="5637" max="5637" width="13.140625" style="67" customWidth="1"/>
    <col min="5638" max="5638" width="7.7109375" style="67" customWidth="1"/>
    <col min="5639" max="5888" width="9.140625" style="67"/>
    <col min="5889" max="5889" width="18.7109375" style="67" customWidth="1"/>
    <col min="5890" max="5890" width="12.85546875" style="67" customWidth="1"/>
    <col min="5891" max="5891" width="78.42578125" style="67" customWidth="1"/>
    <col min="5892" max="5892" width="11.5703125" style="67" customWidth="1"/>
    <col min="5893" max="5893" width="13.140625" style="67" customWidth="1"/>
    <col min="5894" max="5894" width="7.7109375" style="67" customWidth="1"/>
    <col min="5895" max="6144" width="9.140625" style="67"/>
    <col min="6145" max="6145" width="18.7109375" style="67" customWidth="1"/>
    <col min="6146" max="6146" width="12.85546875" style="67" customWidth="1"/>
    <col min="6147" max="6147" width="78.42578125" style="67" customWidth="1"/>
    <col min="6148" max="6148" width="11.5703125" style="67" customWidth="1"/>
    <col min="6149" max="6149" width="13.140625" style="67" customWidth="1"/>
    <col min="6150" max="6150" width="7.7109375" style="67" customWidth="1"/>
    <col min="6151" max="6400" width="9.140625" style="67"/>
    <col min="6401" max="6401" width="18.7109375" style="67" customWidth="1"/>
    <col min="6402" max="6402" width="12.85546875" style="67" customWidth="1"/>
    <col min="6403" max="6403" width="78.42578125" style="67" customWidth="1"/>
    <col min="6404" max="6404" width="11.5703125" style="67" customWidth="1"/>
    <col min="6405" max="6405" width="13.140625" style="67" customWidth="1"/>
    <col min="6406" max="6406" width="7.7109375" style="67" customWidth="1"/>
    <col min="6407" max="6656" width="9.140625" style="67"/>
    <col min="6657" max="6657" width="18.7109375" style="67" customWidth="1"/>
    <col min="6658" max="6658" width="12.85546875" style="67" customWidth="1"/>
    <col min="6659" max="6659" width="78.42578125" style="67" customWidth="1"/>
    <col min="6660" max="6660" width="11.5703125" style="67" customWidth="1"/>
    <col min="6661" max="6661" width="13.140625" style="67" customWidth="1"/>
    <col min="6662" max="6662" width="7.7109375" style="67" customWidth="1"/>
    <col min="6663" max="6912" width="9.140625" style="67"/>
    <col min="6913" max="6913" width="18.7109375" style="67" customWidth="1"/>
    <col min="6914" max="6914" width="12.85546875" style="67" customWidth="1"/>
    <col min="6915" max="6915" width="78.42578125" style="67" customWidth="1"/>
    <col min="6916" max="6916" width="11.5703125" style="67" customWidth="1"/>
    <col min="6917" max="6917" width="13.140625" style="67" customWidth="1"/>
    <col min="6918" max="6918" width="7.7109375" style="67" customWidth="1"/>
    <col min="6919" max="7168" width="9.140625" style="67"/>
    <col min="7169" max="7169" width="18.7109375" style="67" customWidth="1"/>
    <col min="7170" max="7170" width="12.85546875" style="67" customWidth="1"/>
    <col min="7171" max="7171" width="78.42578125" style="67" customWidth="1"/>
    <col min="7172" max="7172" width="11.5703125" style="67" customWidth="1"/>
    <col min="7173" max="7173" width="13.140625" style="67" customWidth="1"/>
    <col min="7174" max="7174" width="7.7109375" style="67" customWidth="1"/>
    <col min="7175" max="7424" width="9.140625" style="67"/>
    <col min="7425" max="7425" width="18.7109375" style="67" customWidth="1"/>
    <col min="7426" max="7426" width="12.85546875" style="67" customWidth="1"/>
    <col min="7427" max="7427" width="78.42578125" style="67" customWidth="1"/>
    <col min="7428" max="7428" width="11.5703125" style="67" customWidth="1"/>
    <col min="7429" max="7429" width="13.140625" style="67" customWidth="1"/>
    <col min="7430" max="7430" width="7.7109375" style="67" customWidth="1"/>
    <col min="7431" max="7680" width="9.140625" style="67"/>
    <col min="7681" max="7681" width="18.7109375" style="67" customWidth="1"/>
    <col min="7682" max="7682" width="12.85546875" style="67" customWidth="1"/>
    <col min="7683" max="7683" width="78.42578125" style="67" customWidth="1"/>
    <col min="7684" max="7684" width="11.5703125" style="67" customWidth="1"/>
    <col min="7685" max="7685" width="13.140625" style="67" customWidth="1"/>
    <col min="7686" max="7686" width="7.7109375" style="67" customWidth="1"/>
    <col min="7687" max="7936" width="9.140625" style="67"/>
    <col min="7937" max="7937" width="18.7109375" style="67" customWidth="1"/>
    <col min="7938" max="7938" width="12.85546875" style="67" customWidth="1"/>
    <col min="7939" max="7939" width="78.42578125" style="67" customWidth="1"/>
    <col min="7940" max="7940" width="11.5703125" style="67" customWidth="1"/>
    <col min="7941" max="7941" width="13.140625" style="67" customWidth="1"/>
    <col min="7942" max="7942" width="7.7109375" style="67" customWidth="1"/>
    <col min="7943" max="8192" width="9.140625" style="67"/>
    <col min="8193" max="8193" width="18.7109375" style="67" customWidth="1"/>
    <col min="8194" max="8194" width="12.85546875" style="67" customWidth="1"/>
    <col min="8195" max="8195" width="78.42578125" style="67" customWidth="1"/>
    <col min="8196" max="8196" width="11.5703125" style="67" customWidth="1"/>
    <col min="8197" max="8197" width="13.140625" style="67" customWidth="1"/>
    <col min="8198" max="8198" width="7.7109375" style="67" customWidth="1"/>
    <col min="8199" max="8448" width="9.140625" style="67"/>
    <col min="8449" max="8449" width="18.7109375" style="67" customWidth="1"/>
    <col min="8450" max="8450" width="12.85546875" style="67" customWidth="1"/>
    <col min="8451" max="8451" width="78.42578125" style="67" customWidth="1"/>
    <col min="8452" max="8452" width="11.5703125" style="67" customWidth="1"/>
    <col min="8453" max="8453" width="13.140625" style="67" customWidth="1"/>
    <col min="8454" max="8454" width="7.7109375" style="67" customWidth="1"/>
    <col min="8455" max="8704" width="9.140625" style="67"/>
    <col min="8705" max="8705" width="18.7109375" style="67" customWidth="1"/>
    <col min="8706" max="8706" width="12.85546875" style="67" customWidth="1"/>
    <col min="8707" max="8707" width="78.42578125" style="67" customWidth="1"/>
    <col min="8708" max="8708" width="11.5703125" style="67" customWidth="1"/>
    <col min="8709" max="8709" width="13.140625" style="67" customWidth="1"/>
    <col min="8710" max="8710" width="7.7109375" style="67" customWidth="1"/>
    <col min="8711" max="8960" width="9.140625" style="67"/>
    <col min="8961" max="8961" width="18.7109375" style="67" customWidth="1"/>
    <col min="8962" max="8962" width="12.85546875" style="67" customWidth="1"/>
    <col min="8963" max="8963" width="78.42578125" style="67" customWidth="1"/>
    <col min="8964" max="8964" width="11.5703125" style="67" customWidth="1"/>
    <col min="8965" max="8965" width="13.140625" style="67" customWidth="1"/>
    <col min="8966" max="8966" width="7.7109375" style="67" customWidth="1"/>
    <col min="8967" max="9216" width="9.140625" style="67"/>
    <col min="9217" max="9217" width="18.7109375" style="67" customWidth="1"/>
    <col min="9218" max="9218" width="12.85546875" style="67" customWidth="1"/>
    <col min="9219" max="9219" width="78.42578125" style="67" customWidth="1"/>
    <col min="9220" max="9220" width="11.5703125" style="67" customWidth="1"/>
    <col min="9221" max="9221" width="13.140625" style="67" customWidth="1"/>
    <col min="9222" max="9222" width="7.7109375" style="67" customWidth="1"/>
    <col min="9223" max="9472" width="9.140625" style="67"/>
    <col min="9473" max="9473" width="18.7109375" style="67" customWidth="1"/>
    <col min="9474" max="9474" width="12.85546875" style="67" customWidth="1"/>
    <col min="9475" max="9475" width="78.42578125" style="67" customWidth="1"/>
    <col min="9476" max="9476" width="11.5703125" style="67" customWidth="1"/>
    <col min="9477" max="9477" width="13.140625" style="67" customWidth="1"/>
    <col min="9478" max="9478" width="7.7109375" style="67" customWidth="1"/>
    <col min="9479" max="9728" width="9.140625" style="67"/>
    <col min="9729" max="9729" width="18.7109375" style="67" customWidth="1"/>
    <col min="9730" max="9730" width="12.85546875" style="67" customWidth="1"/>
    <col min="9731" max="9731" width="78.42578125" style="67" customWidth="1"/>
    <col min="9732" max="9732" width="11.5703125" style="67" customWidth="1"/>
    <col min="9733" max="9733" width="13.140625" style="67" customWidth="1"/>
    <col min="9734" max="9734" width="7.7109375" style="67" customWidth="1"/>
    <col min="9735" max="9984" width="9.140625" style="67"/>
    <col min="9985" max="9985" width="18.7109375" style="67" customWidth="1"/>
    <col min="9986" max="9986" width="12.85546875" style="67" customWidth="1"/>
    <col min="9987" max="9987" width="78.42578125" style="67" customWidth="1"/>
    <col min="9988" max="9988" width="11.5703125" style="67" customWidth="1"/>
    <col min="9989" max="9989" width="13.140625" style="67" customWidth="1"/>
    <col min="9990" max="9990" width="7.7109375" style="67" customWidth="1"/>
    <col min="9991" max="10240" width="9.140625" style="67"/>
    <col min="10241" max="10241" width="18.7109375" style="67" customWidth="1"/>
    <col min="10242" max="10242" width="12.85546875" style="67" customWidth="1"/>
    <col min="10243" max="10243" width="78.42578125" style="67" customWidth="1"/>
    <col min="10244" max="10244" width="11.5703125" style="67" customWidth="1"/>
    <col min="10245" max="10245" width="13.140625" style="67" customWidth="1"/>
    <col min="10246" max="10246" width="7.7109375" style="67" customWidth="1"/>
    <col min="10247" max="10496" width="9.140625" style="67"/>
    <col min="10497" max="10497" width="18.7109375" style="67" customWidth="1"/>
    <col min="10498" max="10498" width="12.85546875" style="67" customWidth="1"/>
    <col min="10499" max="10499" width="78.42578125" style="67" customWidth="1"/>
    <col min="10500" max="10500" width="11.5703125" style="67" customWidth="1"/>
    <col min="10501" max="10501" width="13.140625" style="67" customWidth="1"/>
    <col min="10502" max="10502" width="7.7109375" style="67" customWidth="1"/>
    <col min="10503" max="10752" width="9.140625" style="67"/>
    <col min="10753" max="10753" width="18.7109375" style="67" customWidth="1"/>
    <col min="10754" max="10754" width="12.85546875" style="67" customWidth="1"/>
    <col min="10755" max="10755" width="78.42578125" style="67" customWidth="1"/>
    <col min="10756" max="10756" width="11.5703125" style="67" customWidth="1"/>
    <col min="10757" max="10757" width="13.140625" style="67" customWidth="1"/>
    <col min="10758" max="10758" width="7.7109375" style="67" customWidth="1"/>
    <col min="10759" max="11008" width="9.140625" style="67"/>
    <col min="11009" max="11009" width="18.7109375" style="67" customWidth="1"/>
    <col min="11010" max="11010" width="12.85546875" style="67" customWidth="1"/>
    <col min="11011" max="11011" width="78.42578125" style="67" customWidth="1"/>
    <col min="11012" max="11012" width="11.5703125" style="67" customWidth="1"/>
    <col min="11013" max="11013" width="13.140625" style="67" customWidth="1"/>
    <col min="11014" max="11014" width="7.7109375" style="67" customWidth="1"/>
    <col min="11015" max="11264" width="9.140625" style="67"/>
    <col min="11265" max="11265" width="18.7109375" style="67" customWidth="1"/>
    <col min="11266" max="11266" width="12.85546875" style="67" customWidth="1"/>
    <col min="11267" max="11267" width="78.42578125" style="67" customWidth="1"/>
    <col min="11268" max="11268" width="11.5703125" style="67" customWidth="1"/>
    <col min="11269" max="11269" width="13.140625" style="67" customWidth="1"/>
    <col min="11270" max="11270" width="7.7109375" style="67" customWidth="1"/>
    <col min="11271" max="11520" width="9.140625" style="67"/>
    <col min="11521" max="11521" width="18.7109375" style="67" customWidth="1"/>
    <col min="11522" max="11522" width="12.85546875" style="67" customWidth="1"/>
    <col min="11523" max="11523" width="78.42578125" style="67" customWidth="1"/>
    <col min="11524" max="11524" width="11.5703125" style="67" customWidth="1"/>
    <col min="11525" max="11525" width="13.140625" style="67" customWidth="1"/>
    <col min="11526" max="11526" width="7.7109375" style="67" customWidth="1"/>
    <col min="11527" max="11776" width="9.140625" style="67"/>
    <col min="11777" max="11777" width="18.7109375" style="67" customWidth="1"/>
    <col min="11778" max="11778" width="12.85546875" style="67" customWidth="1"/>
    <col min="11779" max="11779" width="78.42578125" style="67" customWidth="1"/>
    <col min="11780" max="11780" width="11.5703125" style="67" customWidth="1"/>
    <col min="11781" max="11781" width="13.140625" style="67" customWidth="1"/>
    <col min="11782" max="11782" width="7.7109375" style="67" customWidth="1"/>
    <col min="11783" max="12032" width="9.140625" style="67"/>
    <col min="12033" max="12033" width="18.7109375" style="67" customWidth="1"/>
    <col min="12034" max="12034" width="12.85546875" style="67" customWidth="1"/>
    <col min="12035" max="12035" width="78.42578125" style="67" customWidth="1"/>
    <col min="12036" max="12036" width="11.5703125" style="67" customWidth="1"/>
    <col min="12037" max="12037" width="13.140625" style="67" customWidth="1"/>
    <col min="12038" max="12038" width="7.7109375" style="67" customWidth="1"/>
    <col min="12039" max="12288" width="9.140625" style="67"/>
    <col min="12289" max="12289" width="18.7109375" style="67" customWidth="1"/>
    <col min="12290" max="12290" width="12.85546875" style="67" customWidth="1"/>
    <col min="12291" max="12291" width="78.42578125" style="67" customWidth="1"/>
    <col min="12292" max="12292" width="11.5703125" style="67" customWidth="1"/>
    <col min="12293" max="12293" width="13.140625" style="67" customWidth="1"/>
    <col min="12294" max="12294" width="7.7109375" style="67" customWidth="1"/>
    <col min="12295" max="12544" width="9.140625" style="67"/>
    <col min="12545" max="12545" width="18.7109375" style="67" customWidth="1"/>
    <col min="12546" max="12546" width="12.85546875" style="67" customWidth="1"/>
    <col min="12547" max="12547" width="78.42578125" style="67" customWidth="1"/>
    <col min="12548" max="12548" width="11.5703125" style="67" customWidth="1"/>
    <col min="12549" max="12549" width="13.140625" style="67" customWidth="1"/>
    <col min="12550" max="12550" width="7.7109375" style="67" customWidth="1"/>
    <col min="12551" max="12800" width="9.140625" style="67"/>
    <col min="12801" max="12801" width="18.7109375" style="67" customWidth="1"/>
    <col min="12802" max="12802" width="12.85546875" style="67" customWidth="1"/>
    <col min="12803" max="12803" width="78.42578125" style="67" customWidth="1"/>
    <col min="12804" max="12804" width="11.5703125" style="67" customWidth="1"/>
    <col min="12805" max="12805" width="13.140625" style="67" customWidth="1"/>
    <col min="12806" max="12806" width="7.7109375" style="67" customWidth="1"/>
    <col min="12807" max="13056" width="9.140625" style="67"/>
    <col min="13057" max="13057" width="18.7109375" style="67" customWidth="1"/>
    <col min="13058" max="13058" width="12.85546875" style="67" customWidth="1"/>
    <col min="13059" max="13059" width="78.42578125" style="67" customWidth="1"/>
    <col min="13060" max="13060" width="11.5703125" style="67" customWidth="1"/>
    <col min="13061" max="13061" width="13.140625" style="67" customWidth="1"/>
    <col min="13062" max="13062" width="7.7109375" style="67" customWidth="1"/>
    <col min="13063" max="13312" width="9.140625" style="67"/>
    <col min="13313" max="13313" width="18.7109375" style="67" customWidth="1"/>
    <col min="13314" max="13314" width="12.85546875" style="67" customWidth="1"/>
    <col min="13315" max="13315" width="78.42578125" style="67" customWidth="1"/>
    <col min="13316" max="13316" width="11.5703125" style="67" customWidth="1"/>
    <col min="13317" max="13317" width="13.140625" style="67" customWidth="1"/>
    <col min="13318" max="13318" width="7.7109375" style="67" customWidth="1"/>
    <col min="13319" max="13568" width="9.140625" style="67"/>
    <col min="13569" max="13569" width="18.7109375" style="67" customWidth="1"/>
    <col min="13570" max="13570" width="12.85546875" style="67" customWidth="1"/>
    <col min="13571" max="13571" width="78.42578125" style="67" customWidth="1"/>
    <col min="13572" max="13572" width="11.5703125" style="67" customWidth="1"/>
    <col min="13573" max="13573" width="13.140625" style="67" customWidth="1"/>
    <col min="13574" max="13574" width="7.7109375" style="67" customWidth="1"/>
    <col min="13575" max="13824" width="9.140625" style="67"/>
    <col min="13825" max="13825" width="18.7109375" style="67" customWidth="1"/>
    <col min="13826" max="13826" width="12.85546875" style="67" customWidth="1"/>
    <col min="13827" max="13827" width="78.42578125" style="67" customWidth="1"/>
    <col min="13828" max="13828" width="11.5703125" style="67" customWidth="1"/>
    <col min="13829" max="13829" width="13.140625" style="67" customWidth="1"/>
    <col min="13830" max="13830" width="7.7109375" style="67" customWidth="1"/>
    <col min="13831" max="14080" width="9.140625" style="67"/>
    <col min="14081" max="14081" width="18.7109375" style="67" customWidth="1"/>
    <col min="14082" max="14082" width="12.85546875" style="67" customWidth="1"/>
    <col min="14083" max="14083" width="78.42578125" style="67" customWidth="1"/>
    <col min="14084" max="14084" width="11.5703125" style="67" customWidth="1"/>
    <col min="14085" max="14085" width="13.140625" style="67" customWidth="1"/>
    <col min="14086" max="14086" width="7.7109375" style="67" customWidth="1"/>
    <col min="14087" max="14336" width="9.140625" style="67"/>
    <col min="14337" max="14337" width="18.7109375" style="67" customWidth="1"/>
    <col min="14338" max="14338" width="12.85546875" style="67" customWidth="1"/>
    <col min="14339" max="14339" width="78.42578125" style="67" customWidth="1"/>
    <col min="14340" max="14340" width="11.5703125" style="67" customWidth="1"/>
    <col min="14341" max="14341" width="13.140625" style="67" customWidth="1"/>
    <col min="14342" max="14342" width="7.7109375" style="67" customWidth="1"/>
    <col min="14343" max="14592" width="9.140625" style="67"/>
    <col min="14593" max="14593" width="18.7109375" style="67" customWidth="1"/>
    <col min="14594" max="14594" width="12.85546875" style="67" customWidth="1"/>
    <col min="14595" max="14595" width="78.42578125" style="67" customWidth="1"/>
    <col min="14596" max="14596" width="11.5703125" style="67" customWidth="1"/>
    <col min="14597" max="14597" width="13.140625" style="67" customWidth="1"/>
    <col min="14598" max="14598" width="7.7109375" style="67" customWidth="1"/>
    <col min="14599" max="14848" width="9.140625" style="67"/>
    <col min="14849" max="14849" width="18.7109375" style="67" customWidth="1"/>
    <col min="14850" max="14850" width="12.85546875" style="67" customWidth="1"/>
    <col min="14851" max="14851" width="78.42578125" style="67" customWidth="1"/>
    <col min="14852" max="14852" width="11.5703125" style="67" customWidth="1"/>
    <col min="14853" max="14853" width="13.140625" style="67" customWidth="1"/>
    <col min="14854" max="14854" width="7.7109375" style="67" customWidth="1"/>
    <col min="14855" max="15104" width="9.140625" style="67"/>
    <col min="15105" max="15105" width="18.7109375" style="67" customWidth="1"/>
    <col min="15106" max="15106" width="12.85546875" style="67" customWidth="1"/>
    <col min="15107" max="15107" width="78.42578125" style="67" customWidth="1"/>
    <col min="15108" max="15108" width="11.5703125" style="67" customWidth="1"/>
    <col min="15109" max="15109" width="13.140625" style="67" customWidth="1"/>
    <col min="15110" max="15110" width="7.7109375" style="67" customWidth="1"/>
    <col min="15111" max="15360" width="9.140625" style="67"/>
    <col min="15361" max="15361" width="18.7109375" style="67" customWidth="1"/>
    <col min="15362" max="15362" width="12.85546875" style="67" customWidth="1"/>
    <col min="15363" max="15363" width="78.42578125" style="67" customWidth="1"/>
    <col min="15364" max="15364" width="11.5703125" style="67" customWidth="1"/>
    <col min="15365" max="15365" width="13.140625" style="67" customWidth="1"/>
    <col min="15366" max="15366" width="7.7109375" style="67" customWidth="1"/>
    <col min="15367" max="15616" width="9.140625" style="67"/>
    <col min="15617" max="15617" width="18.7109375" style="67" customWidth="1"/>
    <col min="15618" max="15618" width="12.85546875" style="67" customWidth="1"/>
    <col min="15619" max="15619" width="78.42578125" style="67" customWidth="1"/>
    <col min="15620" max="15620" width="11.5703125" style="67" customWidth="1"/>
    <col min="15621" max="15621" width="13.140625" style="67" customWidth="1"/>
    <col min="15622" max="15622" width="7.7109375" style="67" customWidth="1"/>
    <col min="15623" max="15872" width="9.140625" style="67"/>
    <col min="15873" max="15873" width="18.7109375" style="67" customWidth="1"/>
    <col min="15874" max="15874" width="12.85546875" style="67" customWidth="1"/>
    <col min="15875" max="15875" width="78.42578125" style="67" customWidth="1"/>
    <col min="15876" max="15876" width="11.5703125" style="67" customWidth="1"/>
    <col min="15877" max="15877" width="13.140625" style="67" customWidth="1"/>
    <col min="15878" max="15878" width="7.7109375" style="67" customWidth="1"/>
    <col min="15879" max="16128" width="9.140625" style="67"/>
    <col min="16129" max="16129" width="18.7109375" style="67" customWidth="1"/>
    <col min="16130" max="16130" width="12.85546875" style="67" customWidth="1"/>
    <col min="16131" max="16131" width="78.42578125" style="67" customWidth="1"/>
    <col min="16132" max="16132" width="11.5703125" style="67" customWidth="1"/>
    <col min="16133" max="16133" width="13.140625" style="67" customWidth="1"/>
    <col min="16134" max="16134" width="7.7109375" style="67" customWidth="1"/>
    <col min="16135" max="16384" width="9.140625" style="67"/>
  </cols>
  <sheetData>
    <row r="1" spans="1:6" x14ac:dyDescent="0.2">
      <c r="A1" s="244" t="s">
        <v>401</v>
      </c>
      <c r="B1" s="244"/>
      <c r="C1" s="244"/>
      <c r="D1" s="68" t="s">
        <v>402</v>
      </c>
      <c r="E1" s="69">
        <v>46056.61595579861</v>
      </c>
    </row>
    <row r="2" spans="1:6" x14ac:dyDescent="0.2">
      <c r="A2" s="244" t="s">
        <v>399</v>
      </c>
      <c r="B2" s="244"/>
      <c r="C2" s="244"/>
      <c r="D2" s="68" t="s">
        <v>403</v>
      </c>
      <c r="E2" s="70">
        <v>46056.61595579861</v>
      </c>
    </row>
    <row r="3" spans="1:6" x14ac:dyDescent="0.2">
      <c r="A3" s="244" t="s">
        <v>404</v>
      </c>
      <c r="B3" s="244"/>
      <c r="C3" s="244"/>
    </row>
    <row r="4" spans="1:6" x14ac:dyDescent="0.2">
      <c r="A4" s="244" t="s">
        <v>405</v>
      </c>
      <c r="B4" s="244"/>
      <c r="C4" s="244"/>
    </row>
    <row r="5" spans="1:6" x14ac:dyDescent="0.2">
      <c r="A5" s="244" t="s">
        <v>406</v>
      </c>
      <c r="B5" s="244"/>
    </row>
    <row r="6" spans="1:6" x14ac:dyDescent="0.2">
      <c r="B6" s="243" t="s">
        <v>407</v>
      </c>
      <c r="C6" s="244"/>
      <c r="D6" s="244"/>
      <c r="E6" s="71">
        <f>E15+E24+E29+E33+E39+E47</f>
        <v>2716959.35</v>
      </c>
    </row>
    <row r="7" spans="1:6" x14ac:dyDescent="0.2">
      <c r="B7" s="243" t="s">
        <v>408</v>
      </c>
      <c r="C7" s="244"/>
      <c r="D7" s="244"/>
    </row>
    <row r="9" spans="1:6" x14ac:dyDescent="0.2">
      <c r="A9" s="72" t="s">
        <v>4</v>
      </c>
      <c r="B9" s="72" t="s">
        <v>409</v>
      </c>
      <c r="C9" s="72" t="s">
        <v>279</v>
      </c>
      <c r="D9" s="72" t="s">
        <v>410</v>
      </c>
      <c r="E9" s="72" t="s">
        <v>411</v>
      </c>
      <c r="F9" s="72" t="s">
        <v>412</v>
      </c>
    </row>
    <row r="10" spans="1:6" ht="39.950000000000003" customHeight="1" x14ac:dyDescent="0.2">
      <c r="A10" s="73" t="s">
        <v>399</v>
      </c>
      <c r="B10" s="73" t="s">
        <v>399</v>
      </c>
      <c r="C10" s="73" t="s">
        <v>413</v>
      </c>
      <c r="D10" s="73">
        <v>2541000</v>
      </c>
      <c r="E10" s="73">
        <f t="shared" ref="E10:E12" si="0">E11</f>
        <v>2716959.35</v>
      </c>
      <c r="F10" s="73">
        <f>E10/D10</f>
        <v>1.0692480716253443</v>
      </c>
    </row>
    <row r="11" spans="1:6" ht="15.95" customHeight="1" x14ac:dyDescent="0.2">
      <c r="A11" s="74" t="s">
        <v>414</v>
      </c>
      <c r="B11" s="74" t="s">
        <v>415</v>
      </c>
      <c r="C11" s="74" t="s">
        <v>0</v>
      </c>
      <c r="D11" s="74">
        <v>2541000</v>
      </c>
      <c r="E11" s="74">
        <f t="shared" si="0"/>
        <v>2716959.35</v>
      </c>
      <c r="F11" s="74">
        <f t="shared" ref="F11:F14" si="1">E11/D11</f>
        <v>1.0692480716253443</v>
      </c>
    </row>
    <row r="12" spans="1:6" ht="15.95" customHeight="1" x14ac:dyDescent="0.2">
      <c r="A12" s="74" t="s">
        <v>416</v>
      </c>
      <c r="B12" s="74" t="s">
        <v>417</v>
      </c>
      <c r="C12" s="74" t="s">
        <v>418</v>
      </c>
      <c r="D12" s="74">
        <v>2541000</v>
      </c>
      <c r="E12" s="74">
        <f t="shared" si="0"/>
        <v>2716959.35</v>
      </c>
      <c r="F12" s="74">
        <f t="shared" si="1"/>
        <v>1.0692480716253443</v>
      </c>
    </row>
    <row r="13" spans="1:6" ht="15.95" customHeight="1" x14ac:dyDescent="0.2">
      <c r="A13" s="74" t="s">
        <v>419</v>
      </c>
      <c r="B13" s="74" t="s">
        <v>420</v>
      </c>
      <c r="C13" s="74" t="s">
        <v>421</v>
      </c>
      <c r="D13" s="74">
        <v>2541000</v>
      </c>
      <c r="E13" s="74">
        <f>E14</f>
        <v>2716959.35</v>
      </c>
      <c r="F13" s="74">
        <f t="shared" si="1"/>
        <v>1.0692480716253443</v>
      </c>
    </row>
    <row r="14" spans="1:6" ht="15.95" customHeight="1" x14ac:dyDescent="0.2">
      <c r="A14" s="74" t="s">
        <v>422</v>
      </c>
      <c r="B14" s="74" t="s">
        <v>423</v>
      </c>
      <c r="C14" s="74" t="s">
        <v>0</v>
      </c>
      <c r="D14" s="74">
        <v>2541000</v>
      </c>
      <c r="E14" s="74">
        <f>SUBTOTAL(9,E15:E52)</f>
        <v>2716959.35</v>
      </c>
      <c r="F14" s="74">
        <f t="shared" si="1"/>
        <v>1.0692480716253443</v>
      </c>
    </row>
    <row r="15" spans="1:6" ht="20.100000000000001" customHeight="1" x14ac:dyDescent="0.2">
      <c r="A15" s="75" t="s">
        <v>424</v>
      </c>
      <c r="B15" s="75" t="s">
        <v>425</v>
      </c>
      <c r="C15" s="75" t="s">
        <v>426</v>
      </c>
      <c r="D15" s="75">
        <v>18300</v>
      </c>
      <c r="E15" s="75">
        <f>SUBTOTAL(9,E16:E23)</f>
        <v>19478.43</v>
      </c>
      <c r="F15" s="75">
        <f>E15/D15</f>
        <v>1.0643950819672132</v>
      </c>
    </row>
    <row r="16" spans="1:6" ht="15.95" customHeight="1" x14ac:dyDescent="0.2">
      <c r="A16" s="76" t="s">
        <v>399</v>
      </c>
      <c r="B16" s="76" t="s">
        <v>427</v>
      </c>
      <c r="C16" s="76" t="s">
        <v>428</v>
      </c>
      <c r="D16" s="77">
        <v>9800</v>
      </c>
      <c r="E16" s="77">
        <f>SUBTOTAL(9,E17:E19)</f>
        <v>0</v>
      </c>
      <c r="F16" s="77">
        <f t="shared" ref="F16:F52" si="2">E16/D16</f>
        <v>0</v>
      </c>
    </row>
    <row r="17" spans="1:6" ht="15.95" customHeight="1" outlineLevel="1" x14ac:dyDescent="0.2">
      <c r="A17" s="67" t="s">
        <v>281</v>
      </c>
      <c r="B17" s="67" t="s">
        <v>280</v>
      </c>
      <c r="C17" s="67" t="s">
        <v>282</v>
      </c>
      <c r="D17" s="71">
        <v>100</v>
      </c>
      <c r="E17" s="71"/>
      <c r="F17" s="71">
        <f t="shared" si="2"/>
        <v>0</v>
      </c>
    </row>
    <row r="18" spans="1:6" ht="15.95" customHeight="1" outlineLevel="1" x14ac:dyDescent="0.2">
      <c r="A18" s="67" t="s">
        <v>284</v>
      </c>
      <c r="B18" s="67" t="s">
        <v>283</v>
      </c>
      <c r="C18" s="67" t="s">
        <v>285</v>
      </c>
      <c r="D18" s="71">
        <v>100</v>
      </c>
      <c r="E18" s="71"/>
      <c r="F18" s="71">
        <f t="shared" si="2"/>
        <v>0</v>
      </c>
    </row>
    <row r="19" spans="1:6" ht="15.95" customHeight="1" outlineLevel="1" x14ac:dyDescent="0.2">
      <c r="A19" s="67" t="s">
        <v>287</v>
      </c>
      <c r="B19" s="67" t="s">
        <v>286</v>
      </c>
      <c r="C19" s="67" t="s">
        <v>288</v>
      </c>
      <c r="D19" s="71">
        <v>9600</v>
      </c>
      <c r="E19" s="71"/>
      <c r="F19" s="71">
        <f t="shared" si="2"/>
        <v>0</v>
      </c>
    </row>
    <row r="20" spans="1:6" ht="15.95" customHeight="1" x14ac:dyDescent="0.2">
      <c r="A20" s="76" t="s">
        <v>399</v>
      </c>
      <c r="B20" s="76" t="s">
        <v>429</v>
      </c>
      <c r="C20" s="76" t="s">
        <v>430</v>
      </c>
      <c r="D20" s="77">
        <v>8500</v>
      </c>
      <c r="E20" s="77">
        <f>SUBTOTAL(9,E21:E21)</f>
        <v>19478.43</v>
      </c>
      <c r="F20" s="77">
        <f t="shared" si="2"/>
        <v>2.2915800000000002</v>
      </c>
    </row>
    <row r="21" spans="1:6" ht="15.95" customHeight="1" outlineLevel="1" x14ac:dyDescent="0.2">
      <c r="A21" s="67" t="s">
        <v>290</v>
      </c>
      <c r="B21" s="67" t="s">
        <v>289</v>
      </c>
      <c r="C21" s="67" t="s">
        <v>291</v>
      </c>
      <c r="D21" s="71">
        <v>8500</v>
      </c>
      <c r="E21" s="71">
        <v>19478.43</v>
      </c>
      <c r="F21" s="71">
        <f t="shared" si="2"/>
        <v>2.2915800000000002</v>
      </c>
    </row>
    <row r="22" spans="1:6" ht="15.95" customHeight="1" x14ac:dyDescent="0.2">
      <c r="A22" s="76" t="s">
        <v>399</v>
      </c>
      <c r="B22" s="76" t="s">
        <v>431</v>
      </c>
      <c r="C22" s="76" t="s">
        <v>432</v>
      </c>
      <c r="D22" s="77">
        <v>0</v>
      </c>
      <c r="E22" s="77">
        <f>SUBTOTAL(9,E23:E23)</f>
        <v>0</v>
      </c>
      <c r="F22" s="77"/>
    </row>
    <row r="23" spans="1:6" ht="15.95" customHeight="1" outlineLevel="1" x14ac:dyDescent="0.2">
      <c r="A23" s="67" t="s">
        <v>293</v>
      </c>
      <c r="B23" s="67" t="s">
        <v>292</v>
      </c>
      <c r="C23" s="67" t="s">
        <v>294</v>
      </c>
      <c r="D23" s="71">
        <v>0</v>
      </c>
      <c r="E23" s="71"/>
      <c r="F23" s="71"/>
    </row>
    <row r="24" spans="1:6" ht="20.100000000000001" customHeight="1" x14ac:dyDescent="0.2">
      <c r="A24" s="75" t="s">
        <v>424</v>
      </c>
      <c r="B24" s="75" t="s">
        <v>433</v>
      </c>
      <c r="C24" s="75" t="s">
        <v>434</v>
      </c>
      <c r="D24" s="75">
        <v>1077100</v>
      </c>
      <c r="E24" s="75">
        <f>SUBTOTAL(9,E25:E28)</f>
        <v>991452.05</v>
      </c>
      <c r="F24" s="75">
        <f t="shared" si="2"/>
        <v>0.92048282425030181</v>
      </c>
    </row>
    <row r="25" spans="1:6" ht="15.95" customHeight="1" x14ac:dyDescent="0.2">
      <c r="A25" s="76" t="s">
        <v>399</v>
      </c>
      <c r="B25" s="76" t="s">
        <v>435</v>
      </c>
      <c r="C25" s="76" t="s">
        <v>436</v>
      </c>
      <c r="D25" s="77">
        <v>1077100</v>
      </c>
      <c r="E25" s="77">
        <f>SUBTOTAL(9,E26:E26)</f>
        <v>991452.05</v>
      </c>
      <c r="F25" s="77">
        <f t="shared" si="2"/>
        <v>0.92048282425030181</v>
      </c>
    </row>
    <row r="26" spans="1:6" ht="15.95" customHeight="1" outlineLevel="1" x14ac:dyDescent="0.2">
      <c r="A26" s="67" t="s">
        <v>296</v>
      </c>
      <c r="B26" s="67" t="s">
        <v>295</v>
      </c>
      <c r="C26" s="67" t="s">
        <v>297</v>
      </c>
      <c r="D26" s="71">
        <v>1077100</v>
      </c>
      <c r="E26" s="71">
        <v>991452.05</v>
      </c>
      <c r="F26" s="71">
        <f t="shared" si="2"/>
        <v>0.92048282425030181</v>
      </c>
    </row>
    <row r="27" spans="1:6" ht="15.95" customHeight="1" x14ac:dyDescent="0.2">
      <c r="A27" s="76" t="s">
        <v>399</v>
      </c>
      <c r="B27" s="76" t="s">
        <v>437</v>
      </c>
      <c r="C27" s="76" t="s">
        <v>438</v>
      </c>
      <c r="D27" s="77">
        <v>0</v>
      </c>
      <c r="E27" s="77">
        <f>SUBTOTAL(9,E28:E28)</f>
        <v>0</v>
      </c>
      <c r="F27" s="77"/>
    </row>
    <row r="28" spans="1:6" ht="15.95" customHeight="1" outlineLevel="1" x14ac:dyDescent="0.2">
      <c r="A28" s="67" t="s">
        <v>299</v>
      </c>
      <c r="B28" s="67" t="s">
        <v>298</v>
      </c>
      <c r="C28" s="67" t="s">
        <v>300</v>
      </c>
      <c r="D28" s="71">
        <v>0</v>
      </c>
      <c r="E28" s="71"/>
      <c r="F28" s="71"/>
    </row>
    <row r="29" spans="1:6" ht="20.100000000000001" customHeight="1" x14ac:dyDescent="0.2">
      <c r="A29" s="75" t="s">
        <v>424</v>
      </c>
      <c r="B29" s="75" t="s">
        <v>439</v>
      </c>
      <c r="C29" s="75" t="s">
        <v>440</v>
      </c>
      <c r="D29" s="75">
        <v>1311600</v>
      </c>
      <c r="E29" s="75">
        <f>SUBTOTAL(9,E30:E32)</f>
        <v>1603143.24</v>
      </c>
      <c r="F29" s="75">
        <f t="shared" si="2"/>
        <v>1.222280603842635</v>
      </c>
    </row>
    <row r="30" spans="1:6" ht="15.95" customHeight="1" x14ac:dyDescent="0.2">
      <c r="A30" s="76" t="s">
        <v>399</v>
      </c>
      <c r="B30" s="76" t="s">
        <v>441</v>
      </c>
      <c r="C30" s="76" t="s">
        <v>442</v>
      </c>
      <c r="D30" s="77">
        <v>1311600</v>
      </c>
      <c r="E30" s="77">
        <f>SUBTOTAL(9,E31:E32)</f>
        <v>1603143.24</v>
      </c>
      <c r="F30" s="77">
        <f t="shared" si="2"/>
        <v>1.222280603842635</v>
      </c>
    </row>
    <row r="31" spans="1:6" ht="15.95" customHeight="1" outlineLevel="1" x14ac:dyDescent="0.2">
      <c r="A31" s="67" t="s">
        <v>302</v>
      </c>
      <c r="B31" s="67" t="s">
        <v>301</v>
      </c>
      <c r="C31" s="67" t="s">
        <v>303</v>
      </c>
      <c r="D31" s="71">
        <v>763100</v>
      </c>
      <c r="E31" s="71">
        <v>941143.24</v>
      </c>
      <c r="F31" s="71">
        <f t="shared" si="2"/>
        <v>1.2333157384353295</v>
      </c>
    </row>
    <row r="32" spans="1:6" ht="15.95" customHeight="1" outlineLevel="1" x14ac:dyDescent="0.2">
      <c r="A32" s="67" t="s">
        <v>305</v>
      </c>
      <c r="B32" s="67" t="s">
        <v>304</v>
      </c>
      <c r="C32" s="67" t="s">
        <v>306</v>
      </c>
      <c r="D32" s="71">
        <v>548500</v>
      </c>
      <c r="E32" s="71">
        <v>662000</v>
      </c>
      <c r="F32" s="71">
        <f t="shared" si="2"/>
        <v>1.2069279854147676</v>
      </c>
    </row>
    <row r="33" spans="1:6" ht="20.100000000000001" customHeight="1" x14ac:dyDescent="0.2">
      <c r="A33" s="75" t="s">
        <v>424</v>
      </c>
      <c r="B33" s="75" t="s">
        <v>443</v>
      </c>
      <c r="C33" s="75" t="s">
        <v>444</v>
      </c>
      <c r="D33" s="75">
        <v>4700</v>
      </c>
      <c r="E33" s="75">
        <f>SUBTOTAL(9,E34:E38)</f>
        <v>8500</v>
      </c>
      <c r="F33" s="75">
        <f t="shared" si="2"/>
        <v>1.8085106382978724</v>
      </c>
    </row>
    <row r="34" spans="1:6" ht="15.95" customHeight="1" x14ac:dyDescent="0.2">
      <c r="A34" s="76" t="s">
        <v>399</v>
      </c>
      <c r="B34" s="76" t="s">
        <v>441</v>
      </c>
      <c r="C34" s="76" t="s">
        <v>442</v>
      </c>
      <c r="D34" s="77">
        <v>2700</v>
      </c>
      <c r="E34" s="77">
        <f>SUBTOTAL(9,E35:E36)</f>
        <v>8500</v>
      </c>
      <c r="F34" s="77">
        <f t="shared" si="2"/>
        <v>3.1481481481481484</v>
      </c>
    </row>
    <row r="35" spans="1:6" ht="15.95" customHeight="1" outlineLevel="1" x14ac:dyDescent="0.2">
      <c r="A35" s="67" t="s">
        <v>308</v>
      </c>
      <c r="B35" s="67" t="s">
        <v>307</v>
      </c>
      <c r="C35" s="67" t="s">
        <v>309</v>
      </c>
      <c r="D35" s="71">
        <v>1200</v>
      </c>
      <c r="E35" s="71">
        <v>8500</v>
      </c>
      <c r="F35" s="71">
        <f t="shared" si="2"/>
        <v>7.083333333333333</v>
      </c>
    </row>
    <row r="36" spans="1:6" ht="15.95" customHeight="1" outlineLevel="1" x14ac:dyDescent="0.2">
      <c r="A36" s="67" t="s">
        <v>311</v>
      </c>
      <c r="B36" s="67" t="s">
        <v>310</v>
      </c>
      <c r="C36" s="67" t="s">
        <v>312</v>
      </c>
      <c r="D36" s="71">
        <v>1500</v>
      </c>
      <c r="E36" s="71"/>
      <c r="F36" s="71">
        <f t="shared" si="2"/>
        <v>0</v>
      </c>
    </row>
    <row r="37" spans="1:6" ht="15.95" customHeight="1" x14ac:dyDescent="0.2">
      <c r="A37" s="76" t="s">
        <v>399</v>
      </c>
      <c r="B37" s="76" t="s">
        <v>437</v>
      </c>
      <c r="C37" s="76" t="s">
        <v>438</v>
      </c>
      <c r="D37" s="77">
        <v>2000</v>
      </c>
      <c r="E37" s="77">
        <f>SUBTOTAL(9,E38:E38)</f>
        <v>0</v>
      </c>
      <c r="F37" s="77">
        <f t="shared" si="2"/>
        <v>0</v>
      </c>
    </row>
    <row r="38" spans="1:6" ht="15.95" customHeight="1" outlineLevel="1" x14ac:dyDescent="0.2">
      <c r="A38" s="67" t="s">
        <v>313</v>
      </c>
      <c r="B38" s="67" t="s">
        <v>298</v>
      </c>
      <c r="C38" s="67" t="s">
        <v>300</v>
      </c>
      <c r="D38" s="71">
        <v>2000</v>
      </c>
      <c r="E38" s="71"/>
      <c r="F38" s="71">
        <f t="shared" si="2"/>
        <v>0</v>
      </c>
    </row>
    <row r="39" spans="1:6" ht="20.100000000000001" customHeight="1" x14ac:dyDescent="0.2">
      <c r="A39" s="75" t="s">
        <v>424</v>
      </c>
      <c r="B39" s="75" t="s">
        <v>445</v>
      </c>
      <c r="C39" s="75" t="s">
        <v>446</v>
      </c>
      <c r="D39" s="75">
        <v>28000</v>
      </c>
      <c r="E39" s="75">
        <f>SUBTOTAL(9,E40:E43)</f>
        <v>344.44</v>
      </c>
      <c r="F39" s="75">
        <f t="shared" si="2"/>
        <v>1.2301428571428571E-2</v>
      </c>
    </row>
    <row r="40" spans="1:6" ht="15.95" customHeight="1" x14ac:dyDescent="0.2">
      <c r="A40" s="76" t="s">
        <v>399</v>
      </c>
      <c r="B40" s="76" t="s">
        <v>441</v>
      </c>
      <c r="C40" s="76" t="s">
        <v>442</v>
      </c>
      <c r="D40" s="77">
        <v>0</v>
      </c>
      <c r="E40" s="77">
        <f>SUBTOTAL(9,E41:E41)</f>
        <v>344.44</v>
      </c>
      <c r="F40" s="77"/>
    </row>
    <row r="41" spans="1:6" ht="15.95" customHeight="1" outlineLevel="1" x14ac:dyDescent="0.2">
      <c r="A41" s="67" t="s">
        <v>315</v>
      </c>
      <c r="B41" s="67" t="s">
        <v>314</v>
      </c>
      <c r="C41" s="67" t="s">
        <v>316</v>
      </c>
      <c r="D41" s="71">
        <v>0</v>
      </c>
      <c r="E41" s="71">
        <v>344.44</v>
      </c>
      <c r="F41" s="71"/>
    </row>
    <row r="42" spans="1:6" ht="15.95" customHeight="1" x14ac:dyDescent="0.2">
      <c r="A42" s="76" t="s">
        <v>399</v>
      </c>
      <c r="B42" s="76" t="s">
        <v>437</v>
      </c>
      <c r="C42" s="76" t="s">
        <v>438</v>
      </c>
      <c r="D42" s="77">
        <v>28000</v>
      </c>
      <c r="E42" s="77">
        <f>SUBTOTAL(9,E43:E43)</f>
        <v>0</v>
      </c>
      <c r="F42" s="77">
        <f t="shared" si="2"/>
        <v>0</v>
      </c>
    </row>
    <row r="43" spans="1:6" ht="15.95" customHeight="1" outlineLevel="1" x14ac:dyDescent="0.2">
      <c r="A43" s="67" t="s">
        <v>317</v>
      </c>
      <c r="B43" s="67" t="s">
        <v>298</v>
      </c>
      <c r="C43" s="67" t="s">
        <v>300</v>
      </c>
      <c r="D43" s="71">
        <v>28000</v>
      </c>
      <c r="E43" s="71"/>
      <c r="F43" s="71">
        <f t="shared" si="2"/>
        <v>0</v>
      </c>
    </row>
    <row r="44" spans="1:6" ht="20.100000000000001" customHeight="1" x14ac:dyDescent="0.2">
      <c r="A44" s="75" t="s">
        <v>424</v>
      </c>
      <c r="B44" s="75" t="s">
        <v>447</v>
      </c>
      <c r="C44" s="75" t="s">
        <v>448</v>
      </c>
      <c r="D44" s="75">
        <v>0</v>
      </c>
      <c r="E44" s="75">
        <f>SUBTOTAL(9,E45:E45)</f>
        <v>0</v>
      </c>
      <c r="F44" s="75"/>
    </row>
    <row r="45" spans="1:6" ht="15.95" customHeight="1" x14ac:dyDescent="0.2">
      <c r="A45" s="76" t="s">
        <v>399</v>
      </c>
      <c r="B45" s="76" t="s">
        <v>441</v>
      </c>
      <c r="C45" s="76" t="s">
        <v>442</v>
      </c>
      <c r="D45" s="77">
        <v>0</v>
      </c>
      <c r="E45" s="77">
        <f>SUBTOTAL(9,E46:E46)</f>
        <v>0</v>
      </c>
      <c r="F45" s="77"/>
    </row>
    <row r="46" spans="1:6" ht="15.95" customHeight="1" outlineLevel="1" x14ac:dyDescent="0.2">
      <c r="A46" s="67" t="s">
        <v>319</v>
      </c>
      <c r="B46" s="67" t="s">
        <v>318</v>
      </c>
      <c r="C46" s="67" t="s">
        <v>320</v>
      </c>
      <c r="D46" s="71">
        <v>0</v>
      </c>
      <c r="E46" s="71"/>
      <c r="F46" s="71"/>
    </row>
    <row r="47" spans="1:6" ht="20.100000000000001" customHeight="1" x14ac:dyDescent="0.2">
      <c r="A47" s="75" t="s">
        <v>424</v>
      </c>
      <c r="B47" s="75" t="s">
        <v>449</v>
      </c>
      <c r="C47" s="75" t="s">
        <v>450</v>
      </c>
      <c r="D47" s="75">
        <v>100000</v>
      </c>
      <c r="E47" s="75">
        <f>SUBTOTAL(9,E48:E49)</f>
        <v>94041.19</v>
      </c>
      <c r="F47" s="75">
        <f t="shared" si="2"/>
        <v>0.94041190000000008</v>
      </c>
    </row>
    <row r="48" spans="1:6" ht="15.95" customHeight="1" x14ac:dyDescent="0.2">
      <c r="A48" s="76" t="s">
        <v>399</v>
      </c>
      <c r="B48" s="76" t="s">
        <v>429</v>
      </c>
      <c r="C48" s="76" t="s">
        <v>430</v>
      </c>
      <c r="D48" s="77">
        <v>100000</v>
      </c>
      <c r="E48" s="77">
        <f>SUBTOTAL(9,E49:E49)</f>
        <v>94041.19</v>
      </c>
      <c r="F48" s="77">
        <f t="shared" si="2"/>
        <v>0.94041190000000008</v>
      </c>
    </row>
    <row r="49" spans="1:6" ht="15.95" customHeight="1" outlineLevel="1" x14ac:dyDescent="0.2">
      <c r="A49" s="67" t="s">
        <v>322</v>
      </c>
      <c r="B49" s="67" t="s">
        <v>321</v>
      </c>
      <c r="C49" s="67" t="s">
        <v>323</v>
      </c>
      <c r="D49" s="71">
        <v>100000</v>
      </c>
      <c r="E49" s="71">
        <f>93892.19+149</f>
        <v>94041.19</v>
      </c>
      <c r="F49" s="71">
        <f t="shared" si="2"/>
        <v>0.94041190000000008</v>
      </c>
    </row>
    <row r="50" spans="1:6" ht="20.100000000000001" customHeight="1" x14ac:dyDescent="0.2">
      <c r="A50" s="75" t="s">
        <v>424</v>
      </c>
      <c r="B50" s="75" t="s">
        <v>451</v>
      </c>
      <c r="C50" s="75" t="s">
        <v>452</v>
      </c>
      <c r="D50" s="75">
        <v>1300</v>
      </c>
      <c r="E50" s="75">
        <f>SUBTOTAL(9,E51:E52)</f>
        <v>0</v>
      </c>
      <c r="F50" s="75">
        <f t="shared" si="2"/>
        <v>0</v>
      </c>
    </row>
    <row r="51" spans="1:6" ht="15.95" customHeight="1" x14ac:dyDescent="0.2">
      <c r="A51" s="76" t="s">
        <v>399</v>
      </c>
      <c r="B51" s="76" t="s">
        <v>453</v>
      </c>
      <c r="C51" s="76" t="s">
        <v>454</v>
      </c>
      <c r="D51" s="77">
        <v>1300</v>
      </c>
      <c r="E51" s="77">
        <f>SUBTOTAL(9,E52:E52)</f>
        <v>0</v>
      </c>
      <c r="F51" s="77">
        <f t="shared" si="2"/>
        <v>0</v>
      </c>
    </row>
    <row r="52" spans="1:6" ht="15.95" customHeight="1" outlineLevel="1" x14ac:dyDescent="0.2">
      <c r="A52" s="67" t="s">
        <v>325</v>
      </c>
      <c r="B52" s="67" t="s">
        <v>324</v>
      </c>
      <c r="C52" s="67" t="s">
        <v>326</v>
      </c>
      <c r="D52" s="71">
        <v>1300</v>
      </c>
      <c r="E52" s="71"/>
      <c r="F52" s="71">
        <f t="shared" si="2"/>
        <v>0</v>
      </c>
    </row>
    <row r="53" spans="1:6" ht="15.95" customHeight="1" x14ac:dyDescent="0.2"/>
    <row r="54" spans="1:6" ht="20.100000000000001" customHeight="1" x14ac:dyDescent="0.2">
      <c r="A54" s="75" t="s">
        <v>424</v>
      </c>
      <c r="B54" s="78" t="s">
        <v>455</v>
      </c>
      <c r="C54" s="75" t="s">
        <v>456</v>
      </c>
      <c r="D54" s="75"/>
      <c r="E54" s="75">
        <v>20104298.510000002</v>
      </c>
      <c r="F54" s="75"/>
    </row>
    <row r="55" spans="1:6" ht="39.950000000000003" customHeight="1" x14ac:dyDescent="0.2">
      <c r="A55" s="75" t="s">
        <v>457</v>
      </c>
      <c r="B55" s="78"/>
      <c r="C55" s="75"/>
      <c r="D55" s="75"/>
      <c r="E55" s="75">
        <f>E54+E14</f>
        <v>22821257.860000003</v>
      </c>
      <c r="F55" s="75"/>
    </row>
    <row r="56" spans="1:6" ht="15.95" customHeight="1" x14ac:dyDescent="0.2">
      <c r="E56" s="71"/>
    </row>
    <row r="57" spans="1:6" ht="15.95" customHeight="1" x14ac:dyDescent="0.2">
      <c r="E57" s="71"/>
    </row>
    <row r="58" spans="1:6" ht="15.95" customHeight="1" x14ac:dyDescent="0.2">
      <c r="E58" s="71"/>
    </row>
    <row r="59" spans="1:6" ht="15.95" customHeight="1" x14ac:dyDescent="0.2"/>
    <row r="60" spans="1:6" ht="15.95" customHeight="1" x14ac:dyDescent="0.2">
      <c r="E60" s="71"/>
    </row>
  </sheetData>
  <mergeCells count="7">
    <mergeCell ref="B7:D7"/>
    <mergeCell ref="A1:C1"/>
    <mergeCell ref="A2:C2"/>
    <mergeCell ref="A3:C3"/>
    <mergeCell ref="A4:C4"/>
    <mergeCell ref="A5:B5"/>
    <mergeCell ref="B6:D6"/>
  </mergeCells>
  <pageMargins left="0.55118110236220474" right="0.55118110236220474" top="0.98425196850393704" bottom="0.98425196850393704" header="0.51181102362204722" footer="0.51181102362204722"/>
  <pageSetup scale="88" orientation="landscape" r:id="rId1"/>
  <headerFooter alignWithMargins="0">
    <oddFooter>&amp;C&amp;"Arial,Bold"&amp;9&amp;K04-049&amp;P/&amp;N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L174"/>
  <sheetViews>
    <sheetView topLeftCell="A106" workbookViewId="0">
      <selection activeCell="I51" sqref="I51"/>
    </sheetView>
  </sheetViews>
  <sheetFormatPr defaultRowHeight="12.75" x14ac:dyDescent="0.2"/>
  <cols>
    <col min="2" max="3" width="25.7109375" customWidth="1"/>
  </cols>
  <sheetData>
    <row r="6" spans="2:12" x14ac:dyDescent="0.2">
      <c r="B6" t="str">
        <f t="shared" ref="B6:B37" si="0">CONCATENATE(D6,E6,I6)</f>
        <v/>
      </c>
    </row>
    <row r="7" spans="2:12" x14ac:dyDescent="0.2">
      <c r="B7" t="str">
        <f t="shared" si="0"/>
        <v>A2124011123111</v>
      </c>
      <c r="D7" t="s">
        <v>327</v>
      </c>
      <c r="E7">
        <v>112</v>
      </c>
      <c r="F7" t="s">
        <v>374</v>
      </c>
      <c r="G7" t="s">
        <v>375</v>
      </c>
      <c r="H7" t="s">
        <v>376</v>
      </c>
      <c r="I7" t="s">
        <v>57</v>
      </c>
      <c r="J7" t="s">
        <v>58</v>
      </c>
      <c r="L7" t="s">
        <v>59</v>
      </c>
    </row>
    <row r="8" spans="2:12" x14ac:dyDescent="0.2">
      <c r="B8" t="str">
        <f t="shared" si="0"/>
        <v>A2124011123121</v>
      </c>
      <c r="C8" t="s">
        <v>399</v>
      </c>
      <c r="D8" t="s">
        <v>327</v>
      </c>
      <c r="E8">
        <v>112</v>
      </c>
      <c r="F8" t="s">
        <v>374</v>
      </c>
      <c r="G8" t="s">
        <v>375</v>
      </c>
      <c r="H8" t="s">
        <v>377</v>
      </c>
      <c r="I8" t="s">
        <v>60</v>
      </c>
      <c r="J8" t="s">
        <v>61</v>
      </c>
      <c r="K8" t="str">
        <f>IF(J8=J7,"D","")</f>
        <v/>
      </c>
      <c r="L8" t="s">
        <v>62</v>
      </c>
    </row>
    <row r="9" spans="2:12" x14ac:dyDescent="0.2">
      <c r="B9" t="str">
        <f t="shared" si="0"/>
        <v>A2124011123132</v>
      </c>
      <c r="C9" t="s">
        <v>399</v>
      </c>
      <c r="D9" t="s">
        <v>327</v>
      </c>
      <c r="E9">
        <v>112</v>
      </c>
      <c r="F9" t="s">
        <v>374</v>
      </c>
      <c r="G9" t="s">
        <v>375</v>
      </c>
      <c r="H9" t="s">
        <v>378</v>
      </c>
      <c r="I9" t="s">
        <v>63</v>
      </c>
      <c r="J9" t="s">
        <v>64</v>
      </c>
      <c r="K9" t="str">
        <f t="shared" ref="K9:K72" si="1">IF(J9=J8,"D","")</f>
        <v/>
      </c>
      <c r="L9" t="s">
        <v>65</v>
      </c>
    </row>
    <row r="10" spans="2:12" x14ac:dyDescent="0.2">
      <c r="B10" t="str">
        <f t="shared" si="0"/>
        <v>A2124011123212</v>
      </c>
      <c r="C10" t="s">
        <v>399</v>
      </c>
      <c r="D10" t="s">
        <v>327</v>
      </c>
      <c r="E10">
        <v>112</v>
      </c>
      <c r="F10" t="s">
        <v>374</v>
      </c>
      <c r="G10" t="s">
        <v>379</v>
      </c>
      <c r="H10" t="s">
        <v>380</v>
      </c>
      <c r="I10" t="s">
        <v>66</v>
      </c>
      <c r="J10" t="s">
        <v>67</v>
      </c>
      <c r="K10" t="str">
        <f t="shared" si="1"/>
        <v/>
      </c>
      <c r="L10" t="s">
        <v>68</v>
      </c>
    </row>
    <row r="11" spans="2:12" x14ac:dyDescent="0.2">
      <c r="B11" t="str">
        <f t="shared" si="0"/>
        <v>A2124011123213</v>
      </c>
      <c r="C11" t="s">
        <v>399</v>
      </c>
      <c r="D11" t="s">
        <v>327</v>
      </c>
      <c r="E11">
        <v>112</v>
      </c>
      <c r="F11" t="s">
        <v>374</v>
      </c>
      <c r="G11" t="s">
        <v>379</v>
      </c>
      <c r="H11" t="s">
        <v>380</v>
      </c>
      <c r="I11" t="s">
        <v>69</v>
      </c>
      <c r="J11" t="s">
        <v>70</v>
      </c>
      <c r="K11" t="str">
        <f t="shared" si="1"/>
        <v/>
      </c>
      <c r="L11" t="s">
        <v>71</v>
      </c>
    </row>
    <row r="12" spans="2:12" x14ac:dyDescent="0.2">
      <c r="B12" t="str">
        <f t="shared" si="0"/>
        <v>A2124011123221</v>
      </c>
      <c r="C12" t="s">
        <v>399</v>
      </c>
      <c r="D12" t="s">
        <v>327</v>
      </c>
      <c r="E12">
        <v>112</v>
      </c>
      <c r="F12" t="s">
        <v>374</v>
      </c>
      <c r="G12" t="s">
        <v>379</v>
      </c>
      <c r="H12" t="s">
        <v>381</v>
      </c>
      <c r="I12" t="s">
        <v>72</v>
      </c>
      <c r="J12" t="s">
        <v>73</v>
      </c>
      <c r="K12" t="str">
        <f t="shared" si="1"/>
        <v/>
      </c>
      <c r="L12" t="s">
        <v>74</v>
      </c>
    </row>
    <row r="13" spans="2:12" x14ac:dyDescent="0.2">
      <c r="B13" t="str">
        <f t="shared" si="0"/>
        <v>A2124011123222</v>
      </c>
      <c r="C13" t="s">
        <v>399</v>
      </c>
      <c r="D13" t="s">
        <v>327</v>
      </c>
      <c r="E13">
        <v>112</v>
      </c>
      <c r="F13" t="s">
        <v>374</v>
      </c>
      <c r="G13" t="s">
        <v>379</v>
      </c>
      <c r="H13" t="s">
        <v>381</v>
      </c>
      <c r="I13" t="s">
        <v>75</v>
      </c>
      <c r="J13" t="s">
        <v>76</v>
      </c>
      <c r="K13" t="str">
        <f t="shared" si="1"/>
        <v/>
      </c>
      <c r="L13" t="s">
        <v>77</v>
      </c>
    </row>
    <row r="14" spans="2:12" x14ac:dyDescent="0.2">
      <c r="B14" t="str">
        <f t="shared" si="0"/>
        <v>A2124011123223</v>
      </c>
      <c r="C14" t="s">
        <v>399</v>
      </c>
      <c r="D14" t="s">
        <v>327</v>
      </c>
      <c r="E14">
        <v>112</v>
      </c>
      <c r="F14" t="s">
        <v>374</v>
      </c>
      <c r="G14" t="s">
        <v>379</v>
      </c>
      <c r="H14" t="s">
        <v>381</v>
      </c>
      <c r="I14" t="s">
        <v>78</v>
      </c>
      <c r="J14" t="s">
        <v>79</v>
      </c>
      <c r="K14" t="str">
        <f t="shared" si="1"/>
        <v/>
      </c>
      <c r="L14" t="s">
        <v>80</v>
      </c>
    </row>
    <row r="15" spans="2:12" x14ac:dyDescent="0.2">
      <c r="B15" t="str">
        <f t="shared" si="0"/>
        <v>A2124011123224</v>
      </c>
      <c r="C15" t="s">
        <v>399</v>
      </c>
      <c r="D15" t="s">
        <v>327</v>
      </c>
      <c r="E15">
        <v>112</v>
      </c>
      <c r="F15" t="s">
        <v>374</v>
      </c>
      <c r="G15" t="s">
        <v>379</v>
      </c>
      <c r="H15" t="s">
        <v>381</v>
      </c>
      <c r="I15" t="s">
        <v>81</v>
      </c>
      <c r="J15" t="s">
        <v>82</v>
      </c>
      <c r="K15" t="str">
        <f t="shared" si="1"/>
        <v/>
      </c>
      <c r="L15" t="s">
        <v>83</v>
      </c>
    </row>
    <row r="16" spans="2:12" x14ac:dyDescent="0.2">
      <c r="B16" t="str">
        <f t="shared" si="0"/>
        <v>A2124011123225</v>
      </c>
      <c r="C16" t="s">
        <v>399</v>
      </c>
      <c r="D16" t="s">
        <v>327</v>
      </c>
      <c r="E16">
        <v>112</v>
      </c>
      <c r="F16" t="s">
        <v>374</v>
      </c>
      <c r="G16" t="s">
        <v>379</v>
      </c>
      <c r="H16" t="s">
        <v>381</v>
      </c>
      <c r="I16" t="s">
        <v>84</v>
      </c>
      <c r="J16" t="s">
        <v>85</v>
      </c>
      <c r="K16" t="str">
        <f t="shared" si="1"/>
        <v/>
      </c>
      <c r="L16" t="s">
        <v>86</v>
      </c>
    </row>
    <row r="17" spans="2:12" x14ac:dyDescent="0.2">
      <c r="B17" t="str">
        <f t="shared" si="0"/>
        <v>A2124011123231</v>
      </c>
      <c r="C17" t="s">
        <v>399</v>
      </c>
      <c r="D17" t="s">
        <v>327</v>
      </c>
      <c r="E17">
        <v>112</v>
      </c>
      <c r="F17" t="s">
        <v>374</v>
      </c>
      <c r="G17" t="s">
        <v>379</v>
      </c>
      <c r="H17" t="s">
        <v>382</v>
      </c>
      <c r="I17" t="s">
        <v>87</v>
      </c>
      <c r="J17" t="s">
        <v>88</v>
      </c>
      <c r="K17" t="str">
        <f t="shared" si="1"/>
        <v/>
      </c>
      <c r="L17" t="s">
        <v>89</v>
      </c>
    </row>
    <row r="18" spans="2:12" x14ac:dyDescent="0.2">
      <c r="B18" t="str">
        <f t="shared" si="0"/>
        <v>A2124011123232</v>
      </c>
      <c r="C18" t="s">
        <v>399</v>
      </c>
      <c r="D18" t="s">
        <v>327</v>
      </c>
      <c r="E18">
        <v>112</v>
      </c>
      <c r="F18" t="s">
        <v>374</v>
      </c>
      <c r="G18" t="s">
        <v>379</v>
      </c>
      <c r="H18" t="s">
        <v>382</v>
      </c>
      <c r="I18" t="s">
        <v>38</v>
      </c>
      <c r="J18" t="s">
        <v>90</v>
      </c>
      <c r="K18" t="str">
        <f t="shared" si="1"/>
        <v/>
      </c>
      <c r="L18" t="s">
        <v>40</v>
      </c>
    </row>
    <row r="19" spans="2:12" x14ac:dyDescent="0.2">
      <c r="B19" t="str">
        <f t="shared" si="0"/>
        <v>A2124011123234</v>
      </c>
      <c r="C19" t="s">
        <v>399</v>
      </c>
      <c r="D19" t="s">
        <v>327</v>
      </c>
      <c r="E19">
        <v>112</v>
      </c>
      <c r="F19" t="s">
        <v>374</v>
      </c>
      <c r="G19" t="s">
        <v>379</v>
      </c>
      <c r="H19" t="s">
        <v>382</v>
      </c>
      <c r="I19" t="s">
        <v>94</v>
      </c>
      <c r="J19" t="s">
        <v>95</v>
      </c>
      <c r="K19" t="str">
        <f t="shared" si="1"/>
        <v/>
      </c>
      <c r="L19" t="s">
        <v>96</v>
      </c>
    </row>
    <row r="20" spans="2:12" x14ac:dyDescent="0.2">
      <c r="B20" t="str">
        <f t="shared" si="0"/>
        <v>A2124011123235</v>
      </c>
      <c r="C20" t="s">
        <v>399</v>
      </c>
      <c r="D20" t="s">
        <v>327</v>
      </c>
      <c r="E20">
        <v>112</v>
      </c>
      <c r="F20" t="s">
        <v>374</v>
      </c>
      <c r="G20" t="s">
        <v>379</v>
      </c>
      <c r="H20" t="s">
        <v>382</v>
      </c>
      <c r="I20" t="s">
        <v>97</v>
      </c>
      <c r="J20" t="s">
        <v>98</v>
      </c>
      <c r="K20" t="str">
        <f t="shared" si="1"/>
        <v/>
      </c>
      <c r="L20" t="s">
        <v>99</v>
      </c>
    </row>
    <row r="21" spans="2:12" x14ac:dyDescent="0.2">
      <c r="B21" t="str">
        <f t="shared" si="0"/>
        <v>A2124011123237</v>
      </c>
      <c r="C21" t="s">
        <v>399</v>
      </c>
      <c r="D21" t="s">
        <v>327</v>
      </c>
      <c r="E21">
        <v>112</v>
      </c>
      <c r="F21" t="s">
        <v>374</v>
      </c>
      <c r="G21" t="s">
        <v>379</v>
      </c>
      <c r="H21" t="s">
        <v>382</v>
      </c>
      <c r="I21" t="s">
        <v>41</v>
      </c>
      <c r="J21" t="s">
        <v>103</v>
      </c>
      <c r="K21" t="str">
        <f t="shared" si="1"/>
        <v/>
      </c>
      <c r="L21" t="s">
        <v>43</v>
      </c>
    </row>
    <row r="22" spans="2:12" x14ac:dyDescent="0.2">
      <c r="B22" t="str">
        <f t="shared" si="0"/>
        <v>A2124011123238</v>
      </c>
      <c r="C22" t="s">
        <v>399</v>
      </c>
      <c r="D22" t="s">
        <v>327</v>
      </c>
      <c r="E22">
        <v>112</v>
      </c>
      <c r="F22" t="s">
        <v>374</v>
      </c>
      <c r="G22" t="s">
        <v>379</v>
      </c>
      <c r="H22" t="s">
        <v>382</v>
      </c>
      <c r="I22" t="s">
        <v>104</v>
      </c>
      <c r="J22" t="s">
        <v>105</v>
      </c>
      <c r="K22" t="str">
        <f t="shared" si="1"/>
        <v/>
      </c>
      <c r="L22" t="s">
        <v>106</v>
      </c>
    </row>
    <row r="23" spans="2:12" x14ac:dyDescent="0.2">
      <c r="B23" t="str">
        <f t="shared" si="0"/>
        <v>A2124013113239</v>
      </c>
      <c r="C23" t="s">
        <v>399</v>
      </c>
      <c r="D23" t="s">
        <v>327</v>
      </c>
      <c r="E23">
        <v>311</v>
      </c>
      <c r="F23" t="s">
        <v>374</v>
      </c>
      <c r="G23" t="s">
        <v>379</v>
      </c>
      <c r="H23" t="s">
        <v>382</v>
      </c>
      <c r="I23" t="s">
        <v>126</v>
      </c>
      <c r="J23" t="s">
        <v>127</v>
      </c>
      <c r="K23" t="str">
        <f t="shared" si="1"/>
        <v/>
      </c>
      <c r="L23" t="s">
        <v>128</v>
      </c>
    </row>
    <row r="24" spans="2:12" x14ac:dyDescent="0.2">
      <c r="B24" t="str">
        <f t="shared" si="0"/>
        <v>A2124011123291</v>
      </c>
      <c r="C24" t="s">
        <v>399</v>
      </c>
      <c r="D24" t="s">
        <v>327</v>
      </c>
      <c r="E24">
        <v>112</v>
      </c>
      <c r="F24" t="s">
        <v>374</v>
      </c>
      <c r="G24" t="s">
        <v>379</v>
      </c>
      <c r="H24" t="s">
        <v>383</v>
      </c>
      <c r="I24" t="s">
        <v>107</v>
      </c>
      <c r="J24" t="s">
        <v>108</v>
      </c>
      <c r="K24" t="str">
        <f t="shared" si="1"/>
        <v/>
      </c>
      <c r="L24" t="s">
        <v>109</v>
      </c>
    </row>
    <row r="25" spans="2:12" x14ac:dyDescent="0.2">
      <c r="B25" t="str">
        <f t="shared" si="0"/>
        <v>A2124011123292</v>
      </c>
      <c r="C25" t="s">
        <v>399</v>
      </c>
      <c r="D25" t="s">
        <v>327</v>
      </c>
      <c r="E25">
        <v>112</v>
      </c>
      <c r="F25" t="s">
        <v>374</v>
      </c>
      <c r="G25" t="s">
        <v>379</v>
      </c>
      <c r="H25" t="s">
        <v>383</v>
      </c>
      <c r="I25" t="s">
        <v>110</v>
      </c>
      <c r="J25" t="s">
        <v>111</v>
      </c>
      <c r="K25" t="str">
        <f t="shared" si="1"/>
        <v/>
      </c>
      <c r="L25" t="s">
        <v>112</v>
      </c>
    </row>
    <row r="26" spans="2:12" x14ac:dyDescent="0.2">
      <c r="B26" t="str">
        <f t="shared" si="0"/>
        <v>A2124011123294</v>
      </c>
      <c r="C26" t="s">
        <v>399</v>
      </c>
      <c r="D26" t="s">
        <v>327</v>
      </c>
      <c r="E26">
        <v>112</v>
      </c>
      <c r="F26" t="s">
        <v>374</v>
      </c>
      <c r="G26" t="s">
        <v>379</v>
      </c>
      <c r="H26" t="s">
        <v>383</v>
      </c>
      <c r="I26" t="s">
        <v>113</v>
      </c>
      <c r="J26" t="s">
        <v>114</v>
      </c>
      <c r="K26" t="str">
        <f t="shared" si="1"/>
        <v/>
      </c>
      <c r="L26" t="s">
        <v>115</v>
      </c>
    </row>
    <row r="27" spans="2:12" x14ac:dyDescent="0.2">
      <c r="B27" t="str">
        <f t="shared" si="0"/>
        <v>A2124011123295</v>
      </c>
      <c r="C27" t="s">
        <v>399</v>
      </c>
      <c r="D27" t="s">
        <v>327</v>
      </c>
      <c r="E27">
        <v>112</v>
      </c>
      <c r="F27" t="s">
        <v>374</v>
      </c>
      <c r="G27" t="s">
        <v>379</v>
      </c>
      <c r="H27" t="s">
        <v>383</v>
      </c>
      <c r="I27" t="s">
        <v>116</v>
      </c>
      <c r="J27" t="s">
        <v>117</v>
      </c>
      <c r="K27" t="str">
        <f t="shared" si="1"/>
        <v/>
      </c>
      <c r="L27" t="s">
        <v>118</v>
      </c>
    </row>
    <row r="28" spans="2:12" x14ac:dyDescent="0.2">
      <c r="B28" t="str">
        <f t="shared" si="0"/>
        <v>A2124011123431</v>
      </c>
      <c r="C28" t="s">
        <v>399</v>
      </c>
      <c r="D28" t="s">
        <v>327</v>
      </c>
      <c r="E28">
        <v>112</v>
      </c>
      <c r="F28" t="s">
        <v>374</v>
      </c>
      <c r="G28" t="s">
        <v>384</v>
      </c>
      <c r="H28" t="s">
        <v>385</v>
      </c>
      <c r="I28" t="s">
        <v>119</v>
      </c>
      <c r="J28" t="s">
        <v>120</v>
      </c>
      <c r="K28" t="str">
        <f t="shared" si="1"/>
        <v/>
      </c>
      <c r="L28" t="s">
        <v>121</v>
      </c>
    </row>
    <row r="29" spans="2:12" x14ac:dyDescent="0.2">
      <c r="B29" t="str">
        <f t="shared" si="0"/>
        <v>A2124021123222</v>
      </c>
      <c r="C29" t="s">
        <v>399</v>
      </c>
      <c r="D29" t="s">
        <v>328</v>
      </c>
      <c r="E29">
        <v>112</v>
      </c>
      <c r="F29" t="s">
        <v>374</v>
      </c>
      <c r="G29" t="s">
        <v>379</v>
      </c>
      <c r="H29" t="s">
        <v>381</v>
      </c>
      <c r="I29" t="s">
        <v>75</v>
      </c>
      <c r="J29" t="s">
        <v>212</v>
      </c>
      <c r="K29" t="str">
        <f t="shared" si="1"/>
        <v/>
      </c>
      <c r="L29" t="s">
        <v>77</v>
      </c>
    </row>
    <row r="30" spans="2:12" x14ac:dyDescent="0.2">
      <c r="B30" t="str">
        <f t="shared" si="0"/>
        <v>A2124021123231</v>
      </c>
      <c r="C30" t="s">
        <v>399</v>
      </c>
      <c r="D30" t="s">
        <v>328</v>
      </c>
      <c r="E30">
        <v>112</v>
      </c>
      <c r="F30" t="s">
        <v>374</v>
      </c>
      <c r="G30" t="s">
        <v>379</v>
      </c>
      <c r="H30" t="s">
        <v>382</v>
      </c>
      <c r="I30" t="s">
        <v>87</v>
      </c>
      <c r="J30" t="s">
        <v>213</v>
      </c>
      <c r="K30" t="str">
        <f t="shared" si="1"/>
        <v/>
      </c>
      <c r="L30" t="s">
        <v>89</v>
      </c>
    </row>
    <row r="31" spans="2:12" x14ac:dyDescent="0.2">
      <c r="B31" t="str">
        <f t="shared" si="0"/>
        <v>A2124021123232</v>
      </c>
      <c r="C31" t="s">
        <v>399</v>
      </c>
      <c r="D31" t="s">
        <v>328</v>
      </c>
      <c r="E31">
        <v>112</v>
      </c>
      <c r="F31" t="s">
        <v>374</v>
      </c>
      <c r="G31" t="s">
        <v>379</v>
      </c>
      <c r="H31" t="s">
        <v>382</v>
      </c>
      <c r="I31" t="s">
        <v>38</v>
      </c>
      <c r="J31" t="s">
        <v>214</v>
      </c>
      <c r="K31" t="str">
        <f t="shared" si="1"/>
        <v/>
      </c>
      <c r="L31" t="s">
        <v>40</v>
      </c>
    </row>
    <row r="32" spans="2:12" x14ac:dyDescent="0.2">
      <c r="B32" t="str">
        <f t="shared" si="0"/>
        <v>A2124021123233</v>
      </c>
      <c r="C32" t="s">
        <v>399</v>
      </c>
      <c r="D32" t="s">
        <v>328</v>
      </c>
      <c r="E32">
        <v>112</v>
      </c>
      <c r="F32" t="s">
        <v>374</v>
      </c>
      <c r="G32" t="s">
        <v>379</v>
      </c>
      <c r="H32" t="s">
        <v>382</v>
      </c>
      <c r="I32" t="s">
        <v>91</v>
      </c>
      <c r="J32" t="s">
        <v>215</v>
      </c>
      <c r="K32" t="str">
        <f t="shared" si="1"/>
        <v/>
      </c>
      <c r="L32" t="s">
        <v>93</v>
      </c>
    </row>
    <row r="33" spans="2:12" x14ac:dyDescent="0.2">
      <c r="B33" t="str">
        <f t="shared" si="0"/>
        <v>A2124021123235</v>
      </c>
      <c r="C33" t="s">
        <v>399</v>
      </c>
      <c r="D33" t="s">
        <v>328</v>
      </c>
      <c r="E33">
        <v>112</v>
      </c>
      <c r="F33" t="s">
        <v>374</v>
      </c>
      <c r="G33" t="s">
        <v>379</v>
      </c>
      <c r="H33" t="s">
        <v>382</v>
      </c>
      <c r="I33" t="s">
        <v>97</v>
      </c>
      <c r="J33" t="s">
        <v>216</v>
      </c>
      <c r="K33" t="str">
        <f t="shared" si="1"/>
        <v/>
      </c>
      <c r="L33" t="s">
        <v>99</v>
      </c>
    </row>
    <row r="34" spans="2:12" x14ac:dyDescent="0.2">
      <c r="B34" t="str">
        <f t="shared" si="0"/>
        <v>A2124021123237</v>
      </c>
      <c r="C34" t="s">
        <v>399</v>
      </c>
      <c r="D34" t="s">
        <v>328</v>
      </c>
      <c r="E34">
        <v>112</v>
      </c>
      <c r="F34" t="s">
        <v>374</v>
      </c>
      <c r="G34" t="s">
        <v>379</v>
      </c>
      <c r="H34" t="s">
        <v>382</v>
      </c>
      <c r="I34" t="s">
        <v>41</v>
      </c>
      <c r="J34" t="s">
        <v>217</v>
      </c>
      <c r="K34" t="str">
        <f t="shared" si="1"/>
        <v/>
      </c>
      <c r="L34" t="s">
        <v>43</v>
      </c>
    </row>
    <row r="35" spans="2:12" x14ac:dyDescent="0.2">
      <c r="B35" t="str">
        <f t="shared" si="0"/>
        <v>A2124021123238</v>
      </c>
      <c r="C35" t="s">
        <v>399</v>
      </c>
      <c r="D35" t="s">
        <v>328</v>
      </c>
      <c r="E35">
        <v>112</v>
      </c>
      <c r="F35" t="s">
        <v>374</v>
      </c>
      <c r="G35" t="s">
        <v>379</v>
      </c>
      <c r="H35" t="s">
        <v>382</v>
      </c>
      <c r="I35" t="s">
        <v>104</v>
      </c>
      <c r="J35" t="s">
        <v>218</v>
      </c>
      <c r="K35" t="str">
        <f t="shared" si="1"/>
        <v/>
      </c>
      <c r="L35" t="s">
        <v>106</v>
      </c>
    </row>
    <row r="36" spans="2:12" x14ac:dyDescent="0.2">
      <c r="B36" t="str">
        <f t="shared" si="0"/>
        <v>A2124021123239</v>
      </c>
      <c r="C36" t="s">
        <v>399</v>
      </c>
      <c r="D36" t="s">
        <v>328</v>
      </c>
      <c r="E36">
        <v>112</v>
      </c>
      <c r="F36" t="s">
        <v>374</v>
      </c>
      <c r="G36" t="s">
        <v>379</v>
      </c>
      <c r="H36" t="s">
        <v>382</v>
      </c>
      <c r="I36" t="s">
        <v>126</v>
      </c>
      <c r="J36" t="s">
        <v>219</v>
      </c>
      <c r="K36" t="str">
        <f t="shared" si="1"/>
        <v/>
      </c>
      <c r="L36" t="s">
        <v>128</v>
      </c>
    </row>
    <row r="37" spans="2:12" x14ac:dyDescent="0.2">
      <c r="B37" t="str">
        <f t="shared" si="0"/>
        <v>A2124031123211</v>
      </c>
      <c r="C37" t="s">
        <v>399</v>
      </c>
      <c r="D37" t="s">
        <v>329</v>
      </c>
      <c r="E37">
        <v>112</v>
      </c>
      <c r="F37" t="s">
        <v>374</v>
      </c>
      <c r="G37" t="s">
        <v>379</v>
      </c>
      <c r="H37" t="s">
        <v>380</v>
      </c>
      <c r="I37" t="s">
        <v>130</v>
      </c>
      <c r="J37" t="s">
        <v>257</v>
      </c>
      <c r="K37" t="str">
        <f t="shared" si="1"/>
        <v/>
      </c>
      <c r="L37" t="s">
        <v>132</v>
      </c>
    </row>
    <row r="38" spans="2:12" x14ac:dyDescent="0.2">
      <c r="B38" t="str">
        <f t="shared" ref="B38:B69" si="2">CONCATENATE(D38,E38,I38)</f>
        <v>K2124011124241</v>
      </c>
      <c r="C38" t="s">
        <v>399</v>
      </c>
      <c r="D38" t="s">
        <v>331</v>
      </c>
      <c r="E38">
        <v>112</v>
      </c>
      <c r="F38" t="s">
        <v>391</v>
      </c>
      <c r="G38" t="s">
        <v>392</v>
      </c>
      <c r="H38" t="s">
        <v>395</v>
      </c>
      <c r="I38" t="s">
        <v>17</v>
      </c>
      <c r="J38" t="s">
        <v>269</v>
      </c>
      <c r="K38" t="str">
        <f t="shared" si="1"/>
        <v/>
      </c>
      <c r="L38" t="s">
        <v>19</v>
      </c>
    </row>
    <row r="39" spans="2:12" x14ac:dyDescent="0.2">
      <c r="B39" t="str">
        <f t="shared" si="2"/>
        <v>A2124041123722</v>
      </c>
      <c r="C39" t="s">
        <v>399</v>
      </c>
      <c r="D39" t="s">
        <v>330</v>
      </c>
      <c r="E39">
        <v>112</v>
      </c>
      <c r="F39" t="s">
        <v>374</v>
      </c>
      <c r="G39" t="s">
        <v>389</v>
      </c>
      <c r="H39" t="s">
        <v>390</v>
      </c>
      <c r="I39" t="s">
        <v>260</v>
      </c>
      <c r="J39" t="s">
        <v>261</v>
      </c>
      <c r="K39" t="str">
        <f t="shared" si="1"/>
        <v/>
      </c>
      <c r="L39" t="s">
        <v>262</v>
      </c>
    </row>
    <row r="40" spans="2:12" x14ac:dyDescent="0.2">
      <c r="B40" t="str">
        <f t="shared" si="2"/>
        <v>A2124014313237</v>
      </c>
      <c r="C40" t="s">
        <v>399</v>
      </c>
      <c r="D40" t="s">
        <v>327</v>
      </c>
      <c r="E40">
        <v>431</v>
      </c>
      <c r="F40" t="s">
        <v>374</v>
      </c>
      <c r="G40" t="s">
        <v>379</v>
      </c>
      <c r="H40" t="s">
        <v>382</v>
      </c>
      <c r="I40" t="s">
        <v>41</v>
      </c>
      <c r="J40" t="s">
        <v>147</v>
      </c>
      <c r="K40" t="str">
        <f t="shared" si="1"/>
        <v/>
      </c>
      <c r="L40" t="s">
        <v>43</v>
      </c>
    </row>
    <row r="41" spans="2:12" x14ac:dyDescent="0.2">
      <c r="B41" t="str">
        <f t="shared" si="2"/>
        <v>A2124014313225</v>
      </c>
      <c r="C41" t="s">
        <v>399</v>
      </c>
      <c r="D41" t="s">
        <v>327</v>
      </c>
      <c r="E41">
        <v>431</v>
      </c>
      <c r="F41" t="s">
        <v>374</v>
      </c>
      <c r="G41" t="s">
        <v>379</v>
      </c>
      <c r="H41" t="s">
        <v>381</v>
      </c>
      <c r="I41" t="s">
        <v>84</v>
      </c>
      <c r="J41" t="s">
        <v>137</v>
      </c>
      <c r="K41" t="str">
        <f t="shared" si="1"/>
        <v/>
      </c>
      <c r="L41" t="s">
        <v>86</v>
      </c>
    </row>
    <row r="42" spans="2:12" x14ac:dyDescent="0.2">
      <c r="B42" t="str">
        <f t="shared" si="2"/>
        <v>A2124014313235</v>
      </c>
      <c r="C42" t="s">
        <v>399</v>
      </c>
      <c r="D42" t="s">
        <v>327</v>
      </c>
      <c r="E42">
        <v>431</v>
      </c>
      <c r="F42" t="s">
        <v>374</v>
      </c>
      <c r="G42" t="s">
        <v>379</v>
      </c>
      <c r="H42" t="s">
        <v>382</v>
      </c>
      <c r="I42" t="s">
        <v>97</v>
      </c>
      <c r="J42" t="s">
        <v>145</v>
      </c>
      <c r="K42" t="str">
        <f t="shared" si="1"/>
        <v/>
      </c>
      <c r="L42" t="s">
        <v>99</v>
      </c>
    </row>
    <row r="43" spans="2:12" x14ac:dyDescent="0.2">
      <c r="B43" t="str">
        <f t="shared" si="2"/>
        <v>A2124014313431</v>
      </c>
      <c r="C43" t="s">
        <v>399</v>
      </c>
      <c r="D43" t="s">
        <v>327</v>
      </c>
      <c r="E43">
        <v>431</v>
      </c>
      <c r="F43" t="s">
        <v>374</v>
      </c>
      <c r="G43" t="s">
        <v>384</v>
      </c>
      <c r="H43" t="s">
        <v>385</v>
      </c>
      <c r="I43" t="s">
        <v>119</v>
      </c>
      <c r="J43" t="s">
        <v>162</v>
      </c>
      <c r="K43" t="str">
        <f t="shared" si="1"/>
        <v/>
      </c>
      <c r="L43" t="s">
        <v>121</v>
      </c>
    </row>
    <row r="44" spans="2:12" x14ac:dyDescent="0.2">
      <c r="B44" t="str">
        <f t="shared" si="2"/>
        <v>A2124014313294</v>
      </c>
      <c r="C44" t="s">
        <v>399</v>
      </c>
      <c r="D44" t="s">
        <v>327</v>
      </c>
      <c r="E44">
        <v>431</v>
      </c>
      <c r="F44" t="s">
        <v>374</v>
      </c>
      <c r="G44" t="s">
        <v>379</v>
      </c>
      <c r="H44" t="s">
        <v>383</v>
      </c>
      <c r="I44" t="s">
        <v>113</v>
      </c>
      <c r="J44" t="s">
        <v>157</v>
      </c>
      <c r="K44" t="str">
        <f t="shared" si="1"/>
        <v/>
      </c>
      <c r="L44" t="s">
        <v>115</v>
      </c>
    </row>
    <row r="45" spans="2:12" x14ac:dyDescent="0.2">
      <c r="B45" t="str">
        <f t="shared" si="2"/>
        <v>A2124014313239</v>
      </c>
      <c r="C45" t="s">
        <v>399</v>
      </c>
      <c r="D45" t="s">
        <v>327</v>
      </c>
      <c r="E45">
        <v>431</v>
      </c>
      <c r="F45" t="s">
        <v>374</v>
      </c>
      <c r="G45" t="s">
        <v>379</v>
      </c>
      <c r="H45" t="s">
        <v>382</v>
      </c>
      <c r="I45" t="s">
        <v>126</v>
      </c>
      <c r="J45" t="s">
        <v>149</v>
      </c>
      <c r="K45" t="str">
        <f t="shared" si="1"/>
        <v/>
      </c>
      <c r="L45" t="s">
        <v>128</v>
      </c>
    </row>
    <row r="46" spans="2:12" x14ac:dyDescent="0.2">
      <c r="B46" t="str">
        <f t="shared" si="2"/>
        <v>A2124014313238</v>
      </c>
      <c r="C46" t="s">
        <v>399</v>
      </c>
      <c r="D46" t="s">
        <v>327</v>
      </c>
      <c r="E46">
        <v>431</v>
      </c>
      <c r="F46" t="s">
        <v>374</v>
      </c>
      <c r="G46" t="s">
        <v>379</v>
      </c>
      <c r="H46" t="s">
        <v>382</v>
      </c>
      <c r="I46" t="s">
        <v>104</v>
      </c>
      <c r="J46" t="s">
        <v>148</v>
      </c>
      <c r="K46" t="str">
        <f t="shared" si="1"/>
        <v/>
      </c>
      <c r="L46" t="s">
        <v>106</v>
      </c>
    </row>
    <row r="47" spans="2:12" x14ac:dyDescent="0.2">
      <c r="B47" t="str">
        <f t="shared" si="2"/>
        <v>A2124014313292</v>
      </c>
      <c r="C47" t="s">
        <v>399</v>
      </c>
      <c r="D47" t="s">
        <v>327</v>
      </c>
      <c r="E47">
        <v>431</v>
      </c>
      <c r="F47" t="s">
        <v>374</v>
      </c>
      <c r="G47" t="s">
        <v>379</v>
      </c>
      <c r="H47" t="s">
        <v>383</v>
      </c>
      <c r="I47" t="s">
        <v>110</v>
      </c>
      <c r="J47" t="s">
        <v>153</v>
      </c>
      <c r="K47" t="str">
        <f t="shared" si="1"/>
        <v/>
      </c>
      <c r="L47" t="s">
        <v>112</v>
      </c>
    </row>
    <row r="48" spans="2:12" x14ac:dyDescent="0.2">
      <c r="B48" t="str">
        <f t="shared" si="2"/>
        <v>A2124014313299</v>
      </c>
      <c r="C48" t="s">
        <v>399</v>
      </c>
      <c r="D48" t="s">
        <v>327</v>
      </c>
      <c r="E48">
        <v>431</v>
      </c>
      <c r="F48" t="s">
        <v>374</v>
      </c>
      <c r="G48" t="s">
        <v>379</v>
      </c>
      <c r="H48" t="s">
        <v>383</v>
      </c>
      <c r="I48" t="s">
        <v>159</v>
      </c>
      <c r="J48" t="s">
        <v>160</v>
      </c>
      <c r="K48" t="str">
        <f t="shared" si="1"/>
        <v/>
      </c>
      <c r="L48" t="s">
        <v>161</v>
      </c>
    </row>
    <row r="49" spans="2:12" x14ac:dyDescent="0.2">
      <c r="B49" t="str">
        <f t="shared" si="2"/>
        <v>A2124014313295</v>
      </c>
      <c r="C49" t="s">
        <v>399</v>
      </c>
      <c r="D49" t="s">
        <v>327</v>
      </c>
      <c r="E49">
        <v>431</v>
      </c>
      <c r="F49" t="s">
        <v>374</v>
      </c>
      <c r="G49" t="s">
        <v>379</v>
      </c>
      <c r="H49" t="s">
        <v>383</v>
      </c>
      <c r="I49" t="s">
        <v>116</v>
      </c>
      <c r="J49" t="s">
        <v>158</v>
      </c>
      <c r="K49" t="str">
        <f t="shared" si="1"/>
        <v/>
      </c>
      <c r="L49" t="s">
        <v>118</v>
      </c>
    </row>
    <row r="50" spans="2:12" x14ac:dyDescent="0.2">
      <c r="B50" t="str">
        <f t="shared" si="2"/>
        <v>A2124014313222</v>
      </c>
      <c r="C50" t="s">
        <v>399</v>
      </c>
      <c r="D50" t="s">
        <v>327</v>
      </c>
      <c r="E50">
        <v>431</v>
      </c>
      <c r="F50" t="s">
        <v>374</v>
      </c>
      <c r="G50" t="s">
        <v>379</v>
      </c>
      <c r="H50" t="s">
        <v>381</v>
      </c>
      <c r="I50" t="s">
        <v>75</v>
      </c>
      <c r="J50" t="s">
        <v>135</v>
      </c>
      <c r="K50" t="str">
        <f t="shared" si="1"/>
        <v/>
      </c>
      <c r="L50" t="s">
        <v>77</v>
      </c>
    </row>
    <row r="51" spans="2:12" x14ac:dyDescent="0.2">
      <c r="B51" t="str">
        <f t="shared" si="2"/>
        <v>A2124014313223</v>
      </c>
      <c r="C51" t="s">
        <v>399</v>
      </c>
      <c r="D51" t="s">
        <v>327</v>
      </c>
      <c r="E51">
        <v>431</v>
      </c>
      <c r="F51" t="s">
        <v>374</v>
      </c>
      <c r="G51" t="s">
        <v>379</v>
      </c>
      <c r="H51" t="s">
        <v>381</v>
      </c>
      <c r="I51">
        <v>3223</v>
      </c>
      <c r="J51" t="s">
        <v>135</v>
      </c>
      <c r="K51" t="str">
        <f t="shared" si="1"/>
        <v>D</v>
      </c>
      <c r="L51" t="s">
        <v>80</v>
      </c>
    </row>
    <row r="52" spans="2:12" x14ac:dyDescent="0.2">
      <c r="B52" t="str">
        <f t="shared" si="2"/>
        <v>A2124014313213</v>
      </c>
      <c r="C52" t="s">
        <v>399</v>
      </c>
      <c r="D52" t="s">
        <v>327</v>
      </c>
      <c r="E52">
        <v>431</v>
      </c>
      <c r="F52" t="s">
        <v>374</v>
      </c>
      <c r="G52" t="s">
        <v>379</v>
      </c>
      <c r="H52" t="s">
        <v>380</v>
      </c>
      <c r="I52" t="s">
        <v>69</v>
      </c>
      <c r="J52" t="s">
        <v>133</v>
      </c>
      <c r="K52" t="str">
        <f t="shared" si="1"/>
        <v/>
      </c>
      <c r="L52" t="s">
        <v>71</v>
      </c>
    </row>
    <row r="53" spans="2:12" x14ac:dyDescent="0.2">
      <c r="B53" t="str">
        <f t="shared" si="2"/>
        <v>A2124014313231</v>
      </c>
      <c r="C53" t="s">
        <v>399</v>
      </c>
      <c r="D53" t="s">
        <v>327</v>
      </c>
      <c r="E53">
        <v>431</v>
      </c>
      <c r="F53" t="s">
        <v>374</v>
      </c>
      <c r="G53" t="s">
        <v>379</v>
      </c>
      <c r="H53" t="s">
        <v>382</v>
      </c>
      <c r="I53" t="s">
        <v>87</v>
      </c>
      <c r="J53" t="s">
        <v>141</v>
      </c>
      <c r="K53" t="str">
        <f t="shared" si="1"/>
        <v/>
      </c>
      <c r="L53" t="s">
        <v>89</v>
      </c>
    </row>
    <row r="54" spans="2:12" x14ac:dyDescent="0.2">
      <c r="B54" t="str">
        <f t="shared" si="2"/>
        <v>A2124014313234</v>
      </c>
      <c r="C54" t="s">
        <v>399</v>
      </c>
      <c r="D54" t="s">
        <v>327</v>
      </c>
      <c r="E54">
        <v>431</v>
      </c>
      <c r="F54" t="s">
        <v>374</v>
      </c>
      <c r="G54" t="s">
        <v>379</v>
      </c>
      <c r="H54" t="s">
        <v>382</v>
      </c>
      <c r="I54" t="s">
        <v>94</v>
      </c>
      <c r="J54" t="s">
        <v>144</v>
      </c>
      <c r="K54" t="str">
        <f t="shared" si="1"/>
        <v/>
      </c>
      <c r="L54" t="s">
        <v>96</v>
      </c>
    </row>
    <row r="55" spans="2:12" x14ac:dyDescent="0.2">
      <c r="B55" t="str">
        <f t="shared" si="2"/>
        <v>A2124014313232</v>
      </c>
      <c r="C55" t="s">
        <v>399</v>
      </c>
      <c r="D55" t="s">
        <v>327</v>
      </c>
      <c r="E55">
        <v>431</v>
      </c>
      <c r="F55" t="s">
        <v>374</v>
      </c>
      <c r="G55" t="s">
        <v>379</v>
      </c>
      <c r="H55" t="s">
        <v>382</v>
      </c>
      <c r="I55" t="s">
        <v>38</v>
      </c>
      <c r="J55" t="s">
        <v>142</v>
      </c>
      <c r="K55" t="str">
        <f t="shared" si="1"/>
        <v/>
      </c>
      <c r="L55" t="s">
        <v>40</v>
      </c>
    </row>
    <row r="56" spans="2:12" x14ac:dyDescent="0.2">
      <c r="B56" t="str">
        <f t="shared" si="2"/>
        <v>A2124014313224</v>
      </c>
      <c r="C56" t="s">
        <v>399</v>
      </c>
      <c r="D56" t="s">
        <v>327</v>
      </c>
      <c r="E56">
        <v>431</v>
      </c>
      <c r="F56" t="s">
        <v>374</v>
      </c>
      <c r="G56" t="s">
        <v>379</v>
      </c>
      <c r="H56" t="s">
        <v>381</v>
      </c>
      <c r="I56" t="s">
        <v>81</v>
      </c>
      <c r="J56" t="s">
        <v>136</v>
      </c>
      <c r="K56" t="str">
        <f t="shared" si="1"/>
        <v/>
      </c>
      <c r="L56" t="s">
        <v>83</v>
      </c>
    </row>
    <row r="57" spans="2:12" x14ac:dyDescent="0.2">
      <c r="B57" t="str">
        <f t="shared" si="2"/>
        <v>A2124014313221</v>
      </c>
      <c r="C57" t="s">
        <v>399</v>
      </c>
      <c r="D57" t="s">
        <v>327</v>
      </c>
      <c r="E57">
        <v>431</v>
      </c>
      <c r="F57" t="s">
        <v>374</v>
      </c>
      <c r="G57" t="s">
        <v>379</v>
      </c>
      <c r="H57" t="s">
        <v>381</v>
      </c>
      <c r="I57" t="s">
        <v>72</v>
      </c>
      <c r="J57" t="s">
        <v>134</v>
      </c>
      <c r="K57" t="str">
        <f t="shared" si="1"/>
        <v/>
      </c>
      <c r="L57" t="s">
        <v>74</v>
      </c>
    </row>
    <row r="58" spans="2:12" x14ac:dyDescent="0.2">
      <c r="B58" t="str">
        <f t="shared" si="2"/>
        <v>K2124017114221</v>
      </c>
      <c r="C58" t="s">
        <v>399</v>
      </c>
      <c r="D58" t="s">
        <v>331</v>
      </c>
      <c r="E58">
        <v>711</v>
      </c>
      <c r="F58" t="s">
        <v>391</v>
      </c>
      <c r="G58" t="s">
        <v>392</v>
      </c>
      <c r="H58" t="s">
        <v>393</v>
      </c>
      <c r="I58" t="s">
        <v>27</v>
      </c>
      <c r="J58" t="s">
        <v>49</v>
      </c>
      <c r="K58" t="str">
        <f t="shared" si="1"/>
        <v/>
      </c>
      <c r="L58" t="s">
        <v>29</v>
      </c>
    </row>
    <row r="59" spans="2:12" x14ac:dyDescent="0.2">
      <c r="B59" t="str">
        <f t="shared" si="2"/>
        <v>K2124014314221</v>
      </c>
      <c r="C59" t="s">
        <v>399</v>
      </c>
      <c r="D59" t="s">
        <v>331</v>
      </c>
      <c r="E59">
        <v>431</v>
      </c>
      <c r="F59" t="s">
        <v>391</v>
      </c>
      <c r="G59" t="s">
        <v>392</v>
      </c>
      <c r="H59" t="s">
        <v>393</v>
      </c>
      <c r="I59" t="s">
        <v>27</v>
      </c>
      <c r="J59" t="s">
        <v>271</v>
      </c>
      <c r="K59" t="str">
        <f t="shared" si="1"/>
        <v/>
      </c>
      <c r="L59" t="s">
        <v>29</v>
      </c>
    </row>
    <row r="60" spans="2:12" x14ac:dyDescent="0.2">
      <c r="B60" t="str">
        <f t="shared" si="2"/>
        <v>K2124014314223</v>
      </c>
      <c r="C60" t="s">
        <v>399</v>
      </c>
      <c r="D60" t="s">
        <v>331</v>
      </c>
      <c r="E60">
        <v>431</v>
      </c>
      <c r="F60" t="s">
        <v>391</v>
      </c>
      <c r="G60" t="s">
        <v>392</v>
      </c>
      <c r="H60" t="s">
        <v>393</v>
      </c>
      <c r="I60" t="s">
        <v>30</v>
      </c>
      <c r="J60" t="s">
        <v>275</v>
      </c>
      <c r="K60" t="str">
        <f t="shared" si="1"/>
        <v/>
      </c>
      <c r="L60" t="s">
        <v>32</v>
      </c>
    </row>
    <row r="61" spans="2:12" x14ac:dyDescent="0.2">
      <c r="B61" t="str">
        <f t="shared" si="2"/>
        <v>K2124014314226</v>
      </c>
      <c r="C61" t="s">
        <v>399</v>
      </c>
      <c r="D61" t="s">
        <v>331</v>
      </c>
      <c r="E61">
        <v>431</v>
      </c>
      <c r="F61" t="s">
        <v>391</v>
      </c>
      <c r="G61" t="s">
        <v>392</v>
      </c>
      <c r="H61" t="s">
        <v>393</v>
      </c>
      <c r="I61" t="s">
        <v>276</v>
      </c>
      <c r="J61" t="s">
        <v>277</v>
      </c>
      <c r="K61" t="str">
        <f t="shared" si="1"/>
        <v/>
      </c>
      <c r="L61" t="s">
        <v>278</v>
      </c>
    </row>
    <row r="62" spans="2:12" x14ac:dyDescent="0.2">
      <c r="B62" t="str">
        <f t="shared" si="2"/>
        <v>K2124014314241</v>
      </c>
      <c r="C62" t="s">
        <v>399</v>
      </c>
      <c r="D62" t="s">
        <v>331</v>
      </c>
      <c r="E62">
        <v>431</v>
      </c>
      <c r="F62" t="s">
        <v>391</v>
      </c>
      <c r="G62" t="s">
        <v>392</v>
      </c>
      <c r="H62" t="s">
        <v>395</v>
      </c>
      <c r="I62" t="s">
        <v>17</v>
      </c>
      <c r="J62" t="s">
        <v>18</v>
      </c>
      <c r="K62" t="str">
        <f t="shared" si="1"/>
        <v/>
      </c>
      <c r="L62" t="s">
        <v>19</v>
      </c>
    </row>
    <row r="63" spans="2:12" x14ac:dyDescent="0.2">
      <c r="B63" t="str">
        <f t="shared" si="2"/>
        <v>K2124014314262</v>
      </c>
      <c r="C63" t="s">
        <v>399</v>
      </c>
      <c r="D63" t="s">
        <v>331</v>
      </c>
      <c r="E63">
        <v>431</v>
      </c>
      <c r="F63" t="s">
        <v>391</v>
      </c>
      <c r="G63" t="s">
        <v>392</v>
      </c>
      <c r="H63" t="s">
        <v>398</v>
      </c>
      <c r="I63" t="s">
        <v>20</v>
      </c>
      <c r="J63" t="s">
        <v>21</v>
      </c>
      <c r="K63" t="str">
        <f t="shared" si="1"/>
        <v/>
      </c>
      <c r="L63" t="s">
        <v>22</v>
      </c>
    </row>
    <row r="64" spans="2:12" x14ac:dyDescent="0.2">
      <c r="B64" t="str">
        <f t="shared" si="2"/>
        <v>A2124021123221</v>
      </c>
      <c r="C64" t="s">
        <v>399</v>
      </c>
      <c r="D64" t="s">
        <v>328</v>
      </c>
      <c r="E64">
        <v>112</v>
      </c>
      <c r="F64" t="s">
        <v>374</v>
      </c>
      <c r="G64" t="s">
        <v>379</v>
      </c>
      <c r="H64" t="s">
        <v>381</v>
      </c>
      <c r="I64" t="s">
        <v>72</v>
      </c>
      <c r="J64" t="s">
        <v>211</v>
      </c>
      <c r="K64" t="str">
        <f t="shared" si="1"/>
        <v/>
      </c>
      <c r="L64" t="s">
        <v>74</v>
      </c>
    </row>
    <row r="65" spans="2:12" x14ac:dyDescent="0.2">
      <c r="B65" t="str">
        <f t="shared" si="2"/>
        <v>A2124024313211</v>
      </c>
      <c r="C65" t="s">
        <v>399</v>
      </c>
      <c r="D65" t="s">
        <v>328</v>
      </c>
      <c r="E65">
        <v>431</v>
      </c>
      <c r="F65" t="s">
        <v>374</v>
      </c>
      <c r="G65" t="s">
        <v>379</v>
      </c>
      <c r="H65" t="s">
        <v>380</v>
      </c>
      <c r="I65" t="s">
        <v>130</v>
      </c>
      <c r="J65" t="s">
        <v>221</v>
      </c>
      <c r="K65" t="str">
        <f t="shared" si="1"/>
        <v/>
      </c>
      <c r="L65" t="s">
        <v>132</v>
      </c>
    </row>
    <row r="66" spans="2:12" x14ac:dyDescent="0.2">
      <c r="B66" t="str">
        <f t="shared" si="2"/>
        <v>A2124024313213</v>
      </c>
      <c r="C66" t="s">
        <v>399</v>
      </c>
      <c r="D66" t="s">
        <v>328</v>
      </c>
      <c r="E66">
        <v>431</v>
      </c>
      <c r="F66" t="s">
        <v>374</v>
      </c>
      <c r="G66" t="s">
        <v>379</v>
      </c>
      <c r="H66" t="s">
        <v>380</v>
      </c>
      <c r="I66" t="s">
        <v>69</v>
      </c>
      <c r="J66" t="s">
        <v>222</v>
      </c>
      <c r="K66" t="str">
        <f t="shared" si="1"/>
        <v/>
      </c>
      <c r="L66" t="s">
        <v>71</v>
      </c>
    </row>
    <row r="67" spans="2:12" x14ac:dyDescent="0.2">
      <c r="B67" t="str">
        <f t="shared" si="2"/>
        <v>A2124024313221</v>
      </c>
      <c r="C67" t="s">
        <v>399</v>
      </c>
      <c r="D67" t="s">
        <v>328</v>
      </c>
      <c r="E67">
        <v>431</v>
      </c>
      <c r="F67" t="s">
        <v>374</v>
      </c>
      <c r="G67" t="s">
        <v>379</v>
      </c>
      <c r="H67" t="s">
        <v>381</v>
      </c>
      <c r="I67" t="s">
        <v>72</v>
      </c>
      <c r="J67" t="s">
        <v>223</v>
      </c>
      <c r="K67" t="str">
        <f t="shared" si="1"/>
        <v/>
      </c>
      <c r="L67" t="s">
        <v>74</v>
      </c>
    </row>
    <row r="68" spans="2:12" x14ac:dyDescent="0.2">
      <c r="B68" t="str">
        <f t="shared" si="2"/>
        <v>A2124024313222</v>
      </c>
      <c r="C68" t="s">
        <v>399</v>
      </c>
      <c r="D68" t="s">
        <v>328</v>
      </c>
      <c r="E68">
        <v>431</v>
      </c>
      <c r="F68" t="s">
        <v>374</v>
      </c>
      <c r="G68" t="s">
        <v>379</v>
      </c>
      <c r="H68" t="s">
        <v>381</v>
      </c>
      <c r="I68" t="s">
        <v>75</v>
      </c>
      <c r="J68" t="s">
        <v>224</v>
      </c>
      <c r="K68" t="str">
        <f t="shared" si="1"/>
        <v/>
      </c>
      <c r="L68" t="s">
        <v>77</v>
      </c>
    </row>
    <row r="69" spans="2:12" x14ac:dyDescent="0.2">
      <c r="B69" t="str">
        <f t="shared" si="2"/>
        <v>A2124024313231</v>
      </c>
      <c r="C69" t="s">
        <v>399</v>
      </c>
      <c r="D69" t="s">
        <v>328</v>
      </c>
      <c r="E69">
        <v>431</v>
      </c>
      <c r="F69" t="s">
        <v>374</v>
      </c>
      <c r="G69" t="s">
        <v>379</v>
      </c>
      <c r="H69" t="s">
        <v>382</v>
      </c>
      <c r="I69" t="s">
        <v>87</v>
      </c>
      <c r="J69" t="s">
        <v>226</v>
      </c>
      <c r="K69" t="str">
        <f t="shared" si="1"/>
        <v/>
      </c>
      <c r="L69" t="s">
        <v>89</v>
      </c>
    </row>
    <row r="70" spans="2:12" x14ac:dyDescent="0.2">
      <c r="B70" t="str">
        <f t="shared" ref="B70:B101" si="3">CONCATENATE(D70,E70,I70)</f>
        <v>A2124024313233</v>
      </c>
      <c r="C70" t="s">
        <v>399</v>
      </c>
      <c r="D70" t="s">
        <v>328</v>
      </c>
      <c r="E70">
        <v>431</v>
      </c>
      <c r="F70" t="s">
        <v>374</v>
      </c>
      <c r="G70" t="s">
        <v>379</v>
      </c>
      <c r="H70" t="s">
        <v>382</v>
      </c>
      <c r="I70" t="s">
        <v>91</v>
      </c>
      <c r="J70" t="s">
        <v>227</v>
      </c>
      <c r="K70" t="str">
        <f t="shared" si="1"/>
        <v/>
      </c>
      <c r="L70" t="s">
        <v>93</v>
      </c>
    </row>
    <row r="71" spans="2:12" x14ac:dyDescent="0.2">
      <c r="B71" t="str">
        <f t="shared" si="3"/>
        <v>A2124024313235</v>
      </c>
      <c r="C71" t="s">
        <v>399</v>
      </c>
      <c r="D71" t="s">
        <v>328</v>
      </c>
      <c r="E71">
        <v>431</v>
      </c>
      <c r="F71" t="s">
        <v>374</v>
      </c>
      <c r="G71" t="s">
        <v>379</v>
      </c>
      <c r="H71" t="s">
        <v>382</v>
      </c>
      <c r="I71" t="s">
        <v>97</v>
      </c>
      <c r="J71" t="s">
        <v>228</v>
      </c>
      <c r="K71" t="str">
        <f t="shared" si="1"/>
        <v/>
      </c>
      <c r="L71" t="s">
        <v>99</v>
      </c>
    </row>
    <row r="72" spans="2:12" x14ac:dyDescent="0.2">
      <c r="B72" t="str">
        <f t="shared" si="3"/>
        <v>A2124024313237</v>
      </c>
      <c r="C72" t="s">
        <v>399</v>
      </c>
      <c r="D72" t="s">
        <v>328</v>
      </c>
      <c r="E72">
        <v>431</v>
      </c>
      <c r="F72" t="s">
        <v>374</v>
      </c>
      <c r="G72" t="s">
        <v>379</v>
      </c>
      <c r="H72" t="s">
        <v>382</v>
      </c>
      <c r="I72" t="s">
        <v>41</v>
      </c>
      <c r="J72" t="s">
        <v>229</v>
      </c>
      <c r="K72" t="str">
        <f t="shared" si="1"/>
        <v/>
      </c>
      <c r="L72" t="s">
        <v>43</v>
      </c>
    </row>
    <row r="73" spans="2:12" x14ac:dyDescent="0.2">
      <c r="B73" t="str">
        <f t="shared" si="3"/>
        <v>A2124024313238</v>
      </c>
      <c r="C73" t="s">
        <v>399</v>
      </c>
      <c r="D73" t="s">
        <v>328</v>
      </c>
      <c r="E73">
        <v>431</v>
      </c>
      <c r="F73" t="s">
        <v>374</v>
      </c>
      <c r="G73" t="s">
        <v>379</v>
      </c>
      <c r="H73" t="s">
        <v>382</v>
      </c>
      <c r="I73" t="s">
        <v>104</v>
      </c>
      <c r="J73" t="s">
        <v>230</v>
      </c>
      <c r="K73" t="str">
        <f t="shared" ref="K73:K136" si="4">IF(J73=J72,"D","")</f>
        <v/>
      </c>
      <c r="L73" t="s">
        <v>106</v>
      </c>
    </row>
    <row r="74" spans="2:12" x14ac:dyDescent="0.2">
      <c r="B74" t="str">
        <f t="shared" si="3"/>
        <v>A2124024313239</v>
      </c>
      <c r="C74" t="s">
        <v>399</v>
      </c>
      <c r="D74" t="s">
        <v>328</v>
      </c>
      <c r="E74">
        <v>431</v>
      </c>
      <c r="F74" t="s">
        <v>374</v>
      </c>
      <c r="G74" t="s">
        <v>379</v>
      </c>
      <c r="H74" t="s">
        <v>382</v>
      </c>
      <c r="I74" t="s">
        <v>126</v>
      </c>
      <c r="J74" t="s">
        <v>231</v>
      </c>
      <c r="K74" t="str">
        <f t="shared" si="4"/>
        <v/>
      </c>
      <c r="L74" t="s">
        <v>128</v>
      </c>
    </row>
    <row r="75" spans="2:12" x14ac:dyDescent="0.2">
      <c r="B75" t="str">
        <f t="shared" si="3"/>
        <v>A2124024313293</v>
      </c>
      <c r="C75" t="s">
        <v>399</v>
      </c>
      <c r="D75" t="s">
        <v>328</v>
      </c>
      <c r="E75">
        <v>431</v>
      </c>
      <c r="F75" t="s">
        <v>374</v>
      </c>
      <c r="G75" t="s">
        <v>379</v>
      </c>
      <c r="H75" t="s">
        <v>383</v>
      </c>
      <c r="I75" t="s">
        <v>154</v>
      </c>
      <c r="J75" t="s">
        <v>232</v>
      </c>
      <c r="K75" t="str">
        <f t="shared" si="4"/>
        <v/>
      </c>
      <c r="L75" t="s">
        <v>156</v>
      </c>
    </row>
    <row r="76" spans="2:12" x14ac:dyDescent="0.2">
      <c r="B76" t="str">
        <f t="shared" si="3"/>
        <v>A2124025413221</v>
      </c>
      <c r="C76" t="s">
        <v>399</v>
      </c>
      <c r="D76" t="s">
        <v>328</v>
      </c>
      <c r="E76">
        <v>541</v>
      </c>
      <c r="F76" t="s">
        <v>374</v>
      </c>
      <c r="G76" t="s">
        <v>379</v>
      </c>
      <c r="H76" t="s">
        <v>381</v>
      </c>
      <c r="I76" t="s">
        <v>72</v>
      </c>
      <c r="J76" t="s">
        <v>250</v>
      </c>
      <c r="K76" t="str">
        <f t="shared" si="4"/>
        <v/>
      </c>
      <c r="L76" t="s">
        <v>74</v>
      </c>
    </row>
    <row r="77" spans="2:12" x14ac:dyDescent="0.2">
      <c r="B77" t="str">
        <f t="shared" si="3"/>
        <v>A2124025413222</v>
      </c>
      <c r="C77" t="s">
        <v>399</v>
      </c>
      <c r="D77" t="s">
        <v>328</v>
      </c>
      <c r="E77">
        <v>541</v>
      </c>
      <c r="F77" t="s">
        <v>374</v>
      </c>
      <c r="G77" t="s">
        <v>379</v>
      </c>
      <c r="H77" t="s">
        <v>381</v>
      </c>
      <c r="I77" t="s">
        <v>75</v>
      </c>
      <c r="J77" t="s">
        <v>251</v>
      </c>
      <c r="K77" t="str">
        <f t="shared" si="4"/>
        <v/>
      </c>
      <c r="L77" t="s">
        <v>77</v>
      </c>
    </row>
    <row r="78" spans="2:12" x14ac:dyDescent="0.2">
      <c r="B78" t="str">
        <f t="shared" si="3"/>
        <v>A2124025413224</v>
      </c>
      <c r="C78" t="s">
        <v>399</v>
      </c>
      <c r="D78" t="s">
        <v>328</v>
      </c>
      <c r="E78">
        <v>541</v>
      </c>
      <c r="F78" t="s">
        <v>374</v>
      </c>
      <c r="G78" t="s">
        <v>379</v>
      </c>
      <c r="H78" t="s">
        <v>381</v>
      </c>
      <c r="I78" t="s">
        <v>81</v>
      </c>
      <c r="J78" t="s">
        <v>252</v>
      </c>
      <c r="K78" t="str">
        <f t="shared" si="4"/>
        <v/>
      </c>
      <c r="L78" t="s">
        <v>83</v>
      </c>
    </row>
    <row r="79" spans="2:12" x14ac:dyDescent="0.2">
      <c r="B79" t="str">
        <f t="shared" si="3"/>
        <v>A2124025413225</v>
      </c>
      <c r="C79" t="s">
        <v>399</v>
      </c>
      <c r="D79" t="s">
        <v>328</v>
      </c>
      <c r="E79">
        <v>541</v>
      </c>
      <c r="F79" t="s">
        <v>374</v>
      </c>
      <c r="G79" t="s">
        <v>379</v>
      </c>
      <c r="H79" t="s">
        <v>381</v>
      </c>
      <c r="I79">
        <v>3225</v>
      </c>
      <c r="J79" t="s">
        <v>252</v>
      </c>
      <c r="K79" t="str">
        <f t="shared" si="4"/>
        <v>D</v>
      </c>
      <c r="L79" t="s">
        <v>355</v>
      </c>
    </row>
    <row r="80" spans="2:12" x14ac:dyDescent="0.2">
      <c r="B80" t="str">
        <f t="shared" si="3"/>
        <v>A2124025413233</v>
      </c>
      <c r="C80" t="s">
        <v>399</v>
      </c>
      <c r="D80" t="s">
        <v>328</v>
      </c>
      <c r="E80">
        <v>541</v>
      </c>
      <c r="F80" t="s">
        <v>374</v>
      </c>
      <c r="G80" t="s">
        <v>379</v>
      </c>
      <c r="H80" t="s">
        <v>382</v>
      </c>
      <c r="I80" t="s">
        <v>91</v>
      </c>
      <c r="J80" t="s">
        <v>253</v>
      </c>
      <c r="K80" t="str">
        <f t="shared" si="4"/>
        <v/>
      </c>
      <c r="L80" t="s">
        <v>93</v>
      </c>
    </row>
    <row r="81" spans="2:12" x14ac:dyDescent="0.2">
      <c r="B81" t="str">
        <f t="shared" si="3"/>
        <v>A2124025413237</v>
      </c>
      <c r="C81" t="s">
        <v>399</v>
      </c>
      <c r="D81" t="s">
        <v>328</v>
      </c>
      <c r="E81">
        <v>541</v>
      </c>
      <c r="F81" t="s">
        <v>374</v>
      </c>
      <c r="G81" t="s">
        <v>379</v>
      </c>
      <c r="H81" t="s">
        <v>382</v>
      </c>
      <c r="I81" t="s">
        <v>41</v>
      </c>
      <c r="J81" t="s">
        <v>254</v>
      </c>
      <c r="K81" t="str">
        <f t="shared" si="4"/>
        <v/>
      </c>
      <c r="L81" t="s">
        <v>43</v>
      </c>
    </row>
    <row r="82" spans="2:12" x14ac:dyDescent="0.2">
      <c r="B82" t="str">
        <f t="shared" si="3"/>
        <v>A2124015213111</v>
      </c>
      <c r="C82" t="s">
        <v>399</v>
      </c>
      <c r="D82" t="s">
        <v>327</v>
      </c>
      <c r="E82">
        <v>521</v>
      </c>
      <c r="F82" t="s">
        <v>374</v>
      </c>
      <c r="G82" t="s">
        <v>375</v>
      </c>
      <c r="H82" t="s">
        <v>376</v>
      </c>
      <c r="I82" t="s">
        <v>57</v>
      </c>
      <c r="J82" t="s">
        <v>166</v>
      </c>
      <c r="K82" t="str">
        <f t="shared" si="4"/>
        <v/>
      </c>
      <c r="L82" t="s">
        <v>59</v>
      </c>
    </row>
    <row r="83" spans="2:12" x14ac:dyDescent="0.2">
      <c r="B83" t="str">
        <f t="shared" si="3"/>
        <v>A2124015213121</v>
      </c>
      <c r="C83" t="s">
        <v>399</v>
      </c>
      <c r="D83" t="s">
        <v>327</v>
      </c>
      <c r="E83">
        <v>521</v>
      </c>
      <c r="F83" t="s">
        <v>374</v>
      </c>
      <c r="G83" t="s">
        <v>375</v>
      </c>
      <c r="H83" t="s">
        <v>377</v>
      </c>
      <c r="I83" t="s">
        <v>60</v>
      </c>
      <c r="J83" t="s">
        <v>167</v>
      </c>
      <c r="K83" t="str">
        <f t="shared" si="4"/>
        <v/>
      </c>
      <c r="L83" t="s">
        <v>62</v>
      </c>
    </row>
    <row r="84" spans="2:12" x14ac:dyDescent="0.2">
      <c r="B84" t="str">
        <f t="shared" si="3"/>
        <v>A2124015213132</v>
      </c>
      <c r="C84" t="s">
        <v>399</v>
      </c>
      <c r="D84" t="s">
        <v>327</v>
      </c>
      <c r="E84">
        <v>521</v>
      </c>
      <c r="F84" t="s">
        <v>374</v>
      </c>
      <c r="G84" t="s">
        <v>375</v>
      </c>
      <c r="H84" t="s">
        <v>378</v>
      </c>
      <c r="I84" t="s">
        <v>63</v>
      </c>
      <c r="J84" t="s">
        <v>168</v>
      </c>
      <c r="K84" t="str">
        <f t="shared" si="4"/>
        <v/>
      </c>
      <c r="L84" t="s">
        <v>65</v>
      </c>
    </row>
    <row r="85" spans="2:12" x14ac:dyDescent="0.2">
      <c r="B85" t="str">
        <f t="shared" si="3"/>
        <v>A2124015213211</v>
      </c>
      <c r="C85" t="s">
        <v>399</v>
      </c>
      <c r="D85" t="s">
        <v>327</v>
      </c>
      <c r="E85">
        <v>521</v>
      </c>
      <c r="F85" t="s">
        <v>374</v>
      </c>
      <c r="G85" t="s">
        <v>379</v>
      </c>
      <c r="H85" t="s">
        <v>380</v>
      </c>
      <c r="I85" t="s">
        <v>130</v>
      </c>
      <c r="J85" t="s">
        <v>169</v>
      </c>
      <c r="K85" t="str">
        <f t="shared" si="4"/>
        <v/>
      </c>
      <c r="L85" t="s">
        <v>132</v>
      </c>
    </row>
    <row r="86" spans="2:12" x14ac:dyDescent="0.2">
      <c r="B86" t="str">
        <f t="shared" si="3"/>
        <v>A2124015213212</v>
      </c>
      <c r="C86" t="s">
        <v>399</v>
      </c>
      <c r="D86" t="s">
        <v>327</v>
      </c>
      <c r="E86">
        <v>521</v>
      </c>
      <c r="F86" t="s">
        <v>374</v>
      </c>
      <c r="G86" t="s">
        <v>379</v>
      </c>
      <c r="H86" t="s">
        <v>380</v>
      </c>
      <c r="I86" t="s">
        <v>66</v>
      </c>
      <c r="J86" t="s">
        <v>170</v>
      </c>
      <c r="K86" t="str">
        <f t="shared" si="4"/>
        <v/>
      </c>
      <c r="L86" t="s">
        <v>68</v>
      </c>
    </row>
    <row r="87" spans="2:12" x14ac:dyDescent="0.2">
      <c r="B87" t="str">
        <f t="shared" si="3"/>
        <v>A2124015213213</v>
      </c>
      <c r="C87" t="s">
        <v>399</v>
      </c>
      <c r="D87" t="s">
        <v>327</v>
      </c>
      <c r="E87">
        <v>521</v>
      </c>
      <c r="F87" t="s">
        <v>374</v>
      </c>
      <c r="G87" t="s">
        <v>379</v>
      </c>
      <c r="H87" t="s">
        <v>380</v>
      </c>
      <c r="I87" t="s">
        <v>69</v>
      </c>
      <c r="J87" t="s">
        <v>171</v>
      </c>
      <c r="K87" t="str">
        <f t="shared" si="4"/>
        <v/>
      </c>
      <c r="L87" t="s">
        <v>71</v>
      </c>
    </row>
    <row r="88" spans="2:12" x14ac:dyDescent="0.2">
      <c r="B88" t="str">
        <f t="shared" si="3"/>
        <v>A2124015213221</v>
      </c>
      <c r="C88" t="s">
        <v>399</v>
      </c>
      <c r="D88" t="s">
        <v>327</v>
      </c>
      <c r="E88">
        <v>521</v>
      </c>
      <c r="F88" t="s">
        <v>374</v>
      </c>
      <c r="G88" t="s">
        <v>379</v>
      </c>
      <c r="H88" t="s">
        <v>381</v>
      </c>
      <c r="I88" t="s">
        <v>72</v>
      </c>
      <c r="J88" t="s">
        <v>175</v>
      </c>
      <c r="K88" t="str">
        <f t="shared" si="4"/>
        <v/>
      </c>
      <c r="L88" t="s">
        <v>74</v>
      </c>
    </row>
    <row r="89" spans="2:12" x14ac:dyDescent="0.2">
      <c r="B89" t="str">
        <f t="shared" si="3"/>
        <v>A2124015213222</v>
      </c>
      <c r="C89" t="s">
        <v>399</v>
      </c>
      <c r="D89" t="s">
        <v>327</v>
      </c>
      <c r="E89">
        <v>521</v>
      </c>
      <c r="F89" t="s">
        <v>374</v>
      </c>
      <c r="G89" t="s">
        <v>379</v>
      </c>
      <c r="H89" t="s">
        <v>381</v>
      </c>
      <c r="I89" t="s">
        <v>75</v>
      </c>
      <c r="J89" t="s">
        <v>176</v>
      </c>
      <c r="K89" t="str">
        <f t="shared" si="4"/>
        <v/>
      </c>
      <c r="L89" t="s">
        <v>77</v>
      </c>
    </row>
    <row r="90" spans="2:12" x14ac:dyDescent="0.2">
      <c r="B90" t="str">
        <f t="shared" si="3"/>
        <v>A2124015213223</v>
      </c>
      <c r="C90" t="s">
        <v>399</v>
      </c>
      <c r="D90" t="s">
        <v>327</v>
      </c>
      <c r="E90">
        <v>521</v>
      </c>
      <c r="F90" t="s">
        <v>374</v>
      </c>
      <c r="G90" t="s">
        <v>379</v>
      </c>
      <c r="H90" t="s">
        <v>381</v>
      </c>
      <c r="I90" t="s">
        <v>78</v>
      </c>
      <c r="J90" t="s">
        <v>177</v>
      </c>
      <c r="K90" t="str">
        <f t="shared" si="4"/>
        <v/>
      </c>
      <c r="L90" t="s">
        <v>80</v>
      </c>
    </row>
    <row r="91" spans="2:12" x14ac:dyDescent="0.2">
      <c r="B91" t="str">
        <f t="shared" si="3"/>
        <v>A2124015213225</v>
      </c>
      <c r="C91" t="s">
        <v>399</v>
      </c>
      <c r="D91" t="s">
        <v>327</v>
      </c>
      <c r="E91">
        <v>521</v>
      </c>
      <c r="F91" t="s">
        <v>374</v>
      </c>
      <c r="G91" t="s">
        <v>379</v>
      </c>
      <c r="H91" t="s">
        <v>381</v>
      </c>
      <c r="I91" t="s">
        <v>84</v>
      </c>
      <c r="J91" t="s">
        <v>179</v>
      </c>
      <c r="K91" t="str">
        <f t="shared" si="4"/>
        <v/>
      </c>
      <c r="L91" t="s">
        <v>86</v>
      </c>
    </row>
    <row r="92" spans="2:12" x14ac:dyDescent="0.2">
      <c r="B92" t="str">
        <f t="shared" si="3"/>
        <v>A2124015213227</v>
      </c>
      <c r="C92" t="s">
        <v>399</v>
      </c>
      <c r="D92" t="s">
        <v>327</v>
      </c>
      <c r="E92">
        <v>521</v>
      </c>
      <c r="F92" t="s">
        <v>374</v>
      </c>
      <c r="G92" t="s">
        <v>379</v>
      </c>
      <c r="H92" t="s">
        <v>381</v>
      </c>
      <c r="I92" t="s">
        <v>138</v>
      </c>
      <c r="J92" t="s">
        <v>180</v>
      </c>
      <c r="K92" t="str">
        <f t="shared" si="4"/>
        <v/>
      </c>
      <c r="L92" t="s">
        <v>140</v>
      </c>
    </row>
    <row r="93" spans="2:12" x14ac:dyDescent="0.2">
      <c r="B93" t="str">
        <f t="shared" si="3"/>
        <v>A2124015213231</v>
      </c>
      <c r="C93" t="s">
        <v>399</v>
      </c>
      <c r="D93" t="s">
        <v>327</v>
      </c>
      <c r="E93">
        <v>521</v>
      </c>
      <c r="F93" t="s">
        <v>374</v>
      </c>
      <c r="G93" t="s">
        <v>379</v>
      </c>
      <c r="H93" t="s">
        <v>382</v>
      </c>
      <c r="I93" t="s">
        <v>87</v>
      </c>
      <c r="J93" t="s">
        <v>181</v>
      </c>
      <c r="K93" t="str">
        <f t="shared" si="4"/>
        <v/>
      </c>
      <c r="L93" t="s">
        <v>89</v>
      </c>
    </row>
    <row r="94" spans="2:12" x14ac:dyDescent="0.2">
      <c r="B94" t="str">
        <f t="shared" si="3"/>
        <v>A2124015213232</v>
      </c>
      <c r="C94" t="s">
        <v>399</v>
      </c>
      <c r="D94" t="s">
        <v>327</v>
      </c>
      <c r="E94">
        <v>521</v>
      </c>
      <c r="F94" t="s">
        <v>374</v>
      </c>
      <c r="G94" t="s">
        <v>379</v>
      </c>
      <c r="H94" t="s">
        <v>382</v>
      </c>
      <c r="I94" t="s">
        <v>38</v>
      </c>
      <c r="J94" t="s">
        <v>182</v>
      </c>
      <c r="K94" t="str">
        <f t="shared" si="4"/>
        <v/>
      </c>
      <c r="L94" t="s">
        <v>40</v>
      </c>
    </row>
    <row r="95" spans="2:12" x14ac:dyDescent="0.2">
      <c r="B95" t="str">
        <f t="shared" si="3"/>
        <v>A2124015213234</v>
      </c>
      <c r="C95" t="s">
        <v>399</v>
      </c>
      <c r="D95" t="s">
        <v>327</v>
      </c>
      <c r="E95">
        <v>521</v>
      </c>
      <c r="F95" t="s">
        <v>374</v>
      </c>
      <c r="G95" t="s">
        <v>379</v>
      </c>
      <c r="H95" t="s">
        <v>382</v>
      </c>
      <c r="I95" t="s">
        <v>94</v>
      </c>
      <c r="J95" t="s">
        <v>183</v>
      </c>
      <c r="K95" t="str">
        <f t="shared" si="4"/>
        <v/>
      </c>
      <c r="L95" t="s">
        <v>96</v>
      </c>
    </row>
    <row r="96" spans="2:12" x14ac:dyDescent="0.2">
      <c r="B96" t="str">
        <f t="shared" si="3"/>
        <v>A2124015213235</v>
      </c>
      <c r="C96" t="s">
        <v>399</v>
      </c>
      <c r="D96" t="s">
        <v>327</v>
      </c>
      <c r="E96">
        <v>521</v>
      </c>
      <c r="F96" t="s">
        <v>374</v>
      </c>
      <c r="G96" t="s">
        <v>379</v>
      </c>
      <c r="H96" t="s">
        <v>382</v>
      </c>
      <c r="I96" t="s">
        <v>97</v>
      </c>
      <c r="J96" t="s">
        <v>184</v>
      </c>
      <c r="K96" t="str">
        <f t="shared" si="4"/>
        <v/>
      </c>
      <c r="L96" t="s">
        <v>99</v>
      </c>
    </row>
    <row r="97" spans="2:12" x14ac:dyDescent="0.2">
      <c r="B97" t="str">
        <f t="shared" si="3"/>
        <v>A2124015213236</v>
      </c>
      <c r="C97" t="s">
        <v>399</v>
      </c>
      <c r="D97" t="s">
        <v>327</v>
      </c>
      <c r="E97">
        <v>521</v>
      </c>
      <c r="F97" t="s">
        <v>374</v>
      </c>
      <c r="G97" t="s">
        <v>379</v>
      </c>
      <c r="H97" t="s">
        <v>382</v>
      </c>
      <c r="I97" t="s">
        <v>100</v>
      </c>
      <c r="J97" t="s">
        <v>185</v>
      </c>
      <c r="K97" t="str">
        <f t="shared" si="4"/>
        <v/>
      </c>
      <c r="L97" t="s">
        <v>102</v>
      </c>
    </row>
    <row r="98" spans="2:12" x14ac:dyDescent="0.2">
      <c r="B98" t="str">
        <f t="shared" si="3"/>
        <v>A2124015213237</v>
      </c>
      <c r="C98" t="s">
        <v>399</v>
      </c>
      <c r="D98" t="s">
        <v>327</v>
      </c>
      <c r="E98">
        <v>521</v>
      </c>
      <c r="F98" t="s">
        <v>374</v>
      </c>
      <c r="G98" t="s">
        <v>379</v>
      </c>
      <c r="H98" t="s">
        <v>382</v>
      </c>
      <c r="I98" t="s">
        <v>41</v>
      </c>
      <c r="J98" t="s">
        <v>186</v>
      </c>
      <c r="K98" t="str">
        <f t="shared" si="4"/>
        <v/>
      </c>
      <c r="L98" t="s">
        <v>43</v>
      </c>
    </row>
    <row r="99" spans="2:12" x14ac:dyDescent="0.2">
      <c r="B99" t="str">
        <f t="shared" si="3"/>
        <v>A2124015213238</v>
      </c>
      <c r="C99" t="s">
        <v>399</v>
      </c>
      <c r="D99" t="s">
        <v>327</v>
      </c>
      <c r="E99">
        <v>521</v>
      </c>
      <c r="F99" t="s">
        <v>374</v>
      </c>
      <c r="G99" t="s">
        <v>379</v>
      </c>
      <c r="H99" t="s">
        <v>382</v>
      </c>
      <c r="I99" t="s">
        <v>104</v>
      </c>
      <c r="J99" t="s">
        <v>187</v>
      </c>
      <c r="K99" t="str">
        <f t="shared" si="4"/>
        <v/>
      </c>
      <c r="L99" t="s">
        <v>106</v>
      </c>
    </row>
    <row r="100" spans="2:12" x14ac:dyDescent="0.2">
      <c r="B100" t="str">
        <f t="shared" si="3"/>
        <v>A2124015213239</v>
      </c>
      <c r="C100" t="s">
        <v>399</v>
      </c>
      <c r="D100" t="s">
        <v>327</v>
      </c>
      <c r="E100">
        <v>521</v>
      </c>
      <c r="F100" t="s">
        <v>374</v>
      </c>
      <c r="G100" t="s">
        <v>379</v>
      </c>
      <c r="H100" t="s">
        <v>382</v>
      </c>
      <c r="I100" t="s">
        <v>126</v>
      </c>
      <c r="J100" t="s">
        <v>188</v>
      </c>
      <c r="K100" t="str">
        <f t="shared" si="4"/>
        <v/>
      </c>
      <c r="L100" t="s">
        <v>128</v>
      </c>
    </row>
    <row r="101" spans="2:12" x14ac:dyDescent="0.2">
      <c r="B101" t="str">
        <f t="shared" si="3"/>
        <v>A2124015213292</v>
      </c>
      <c r="C101" t="s">
        <v>399</v>
      </c>
      <c r="D101" t="s">
        <v>327</v>
      </c>
      <c r="E101">
        <v>521</v>
      </c>
      <c r="F101" t="s">
        <v>374</v>
      </c>
      <c r="G101" t="s">
        <v>379</v>
      </c>
      <c r="H101" t="s">
        <v>383</v>
      </c>
      <c r="I101" t="s">
        <v>110</v>
      </c>
      <c r="J101" t="s">
        <v>189</v>
      </c>
      <c r="K101" t="str">
        <f t="shared" si="4"/>
        <v/>
      </c>
      <c r="L101" t="s">
        <v>112</v>
      </c>
    </row>
    <row r="102" spans="2:12" x14ac:dyDescent="0.2">
      <c r="B102" t="str">
        <f t="shared" ref="B102:B133" si="5">CONCATENATE(D102,E102,I102)</f>
        <v>A2124015213293</v>
      </c>
      <c r="C102" t="s">
        <v>399</v>
      </c>
      <c r="D102" t="s">
        <v>327</v>
      </c>
      <c r="E102">
        <v>521</v>
      </c>
      <c r="F102" t="s">
        <v>374</v>
      </c>
      <c r="G102" t="s">
        <v>379</v>
      </c>
      <c r="H102" t="s">
        <v>383</v>
      </c>
      <c r="I102" t="s">
        <v>154</v>
      </c>
      <c r="J102" t="s">
        <v>190</v>
      </c>
      <c r="K102" t="str">
        <f t="shared" si="4"/>
        <v/>
      </c>
      <c r="L102" t="s">
        <v>156</v>
      </c>
    </row>
    <row r="103" spans="2:12" x14ac:dyDescent="0.2">
      <c r="B103" t="str">
        <f t="shared" si="5"/>
        <v>A2124015213294</v>
      </c>
      <c r="C103" t="s">
        <v>399</v>
      </c>
      <c r="D103" t="s">
        <v>327</v>
      </c>
      <c r="E103">
        <v>521</v>
      </c>
      <c r="F103" t="s">
        <v>374</v>
      </c>
      <c r="G103" t="s">
        <v>379</v>
      </c>
      <c r="H103" t="s">
        <v>383</v>
      </c>
      <c r="I103" t="s">
        <v>113</v>
      </c>
      <c r="J103" t="s">
        <v>191</v>
      </c>
      <c r="K103" t="str">
        <f t="shared" si="4"/>
        <v/>
      </c>
      <c r="L103" t="s">
        <v>115</v>
      </c>
    </row>
    <row r="104" spans="2:12" x14ac:dyDescent="0.2">
      <c r="B104" t="str">
        <f t="shared" si="5"/>
        <v>A2124015213295</v>
      </c>
      <c r="C104" t="s">
        <v>399</v>
      </c>
      <c r="D104" t="s">
        <v>327</v>
      </c>
      <c r="E104">
        <v>521</v>
      </c>
      <c r="F104" t="s">
        <v>374</v>
      </c>
      <c r="G104" t="s">
        <v>379</v>
      </c>
      <c r="H104" t="s">
        <v>383</v>
      </c>
      <c r="I104" t="s">
        <v>116</v>
      </c>
      <c r="J104" t="s">
        <v>192</v>
      </c>
      <c r="K104" t="str">
        <f t="shared" si="4"/>
        <v/>
      </c>
      <c r="L104" t="s">
        <v>118</v>
      </c>
    </row>
    <row r="105" spans="2:12" x14ac:dyDescent="0.2">
      <c r="B105" t="str">
        <f t="shared" si="5"/>
        <v>A2124015213299</v>
      </c>
      <c r="C105" t="s">
        <v>399</v>
      </c>
      <c r="D105" t="s">
        <v>327</v>
      </c>
      <c r="E105">
        <v>521</v>
      </c>
      <c r="F105" t="s">
        <v>374</v>
      </c>
      <c r="G105" t="s">
        <v>379</v>
      </c>
      <c r="H105" t="s">
        <v>383</v>
      </c>
      <c r="I105" t="s">
        <v>159</v>
      </c>
      <c r="J105" t="s">
        <v>193</v>
      </c>
      <c r="K105" t="str">
        <f t="shared" si="4"/>
        <v/>
      </c>
      <c r="L105" t="s">
        <v>161</v>
      </c>
    </row>
    <row r="106" spans="2:12" x14ac:dyDescent="0.2">
      <c r="B106" t="str">
        <f t="shared" si="5"/>
        <v>A2124015213431</v>
      </c>
      <c r="C106" t="s">
        <v>399</v>
      </c>
      <c r="D106" t="s">
        <v>327</v>
      </c>
      <c r="E106">
        <v>521</v>
      </c>
      <c r="F106" t="s">
        <v>374</v>
      </c>
      <c r="G106" t="s">
        <v>384</v>
      </c>
      <c r="H106" t="s">
        <v>385</v>
      </c>
      <c r="I106" t="s">
        <v>119</v>
      </c>
      <c r="J106" t="s">
        <v>194</v>
      </c>
      <c r="K106" t="str">
        <f t="shared" si="4"/>
        <v/>
      </c>
      <c r="L106" t="s">
        <v>121</v>
      </c>
    </row>
    <row r="107" spans="2:12" x14ac:dyDescent="0.2">
      <c r="B107" t="str">
        <f t="shared" si="5"/>
        <v>A2124015213433</v>
      </c>
      <c r="C107" t="s">
        <v>399</v>
      </c>
      <c r="D107" t="s">
        <v>327</v>
      </c>
      <c r="E107">
        <v>521</v>
      </c>
      <c r="F107" t="s">
        <v>374</v>
      </c>
      <c r="G107" t="s">
        <v>384</v>
      </c>
      <c r="H107" t="s">
        <v>385</v>
      </c>
      <c r="I107" t="s">
        <v>163</v>
      </c>
      <c r="J107" t="s">
        <v>195</v>
      </c>
      <c r="K107" t="str">
        <f t="shared" si="4"/>
        <v/>
      </c>
      <c r="L107" t="s">
        <v>165</v>
      </c>
    </row>
    <row r="108" spans="2:12" x14ac:dyDescent="0.2">
      <c r="B108" t="str">
        <f t="shared" si="5"/>
        <v>A2124015413221</v>
      </c>
      <c r="C108" t="s">
        <v>399</v>
      </c>
      <c r="D108" t="s">
        <v>327</v>
      </c>
      <c r="E108">
        <v>541</v>
      </c>
      <c r="F108" t="s">
        <v>374</v>
      </c>
      <c r="G108" t="s">
        <v>379</v>
      </c>
      <c r="H108" t="s">
        <v>381</v>
      </c>
      <c r="I108" t="s">
        <v>72</v>
      </c>
      <c r="J108" t="s">
        <v>196</v>
      </c>
      <c r="K108" t="str">
        <f t="shared" si="4"/>
        <v/>
      </c>
      <c r="L108" t="s">
        <v>74</v>
      </c>
    </row>
    <row r="109" spans="2:12" x14ac:dyDescent="0.2">
      <c r="B109" t="str">
        <f t="shared" si="5"/>
        <v>A2124015613211</v>
      </c>
      <c r="C109" t="s">
        <v>399</v>
      </c>
      <c r="D109" t="s">
        <v>327</v>
      </c>
      <c r="E109">
        <v>561</v>
      </c>
      <c r="F109" t="s">
        <v>374</v>
      </c>
      <c r="G109" t="s">
        <v>379</v>
      </c>
      <c r="H109" t="s">
        <v>380</v>
      </c>
      <c r="I109" t="s">
        <v>130</v>
      </c>
      <c r="J109" t="s">
        <v>202</v>
      </c>
      <c r="K109" t="str">
        <f t="shared" si="4"/>
        <v/>
      </c>
      <c r="L109" t="s">
        <v>132</v>
      </c>
    </row>
    <row r="110" spans="2:12" x14ac:dyDescent="0.2">
      <c r="B110" t="str">
        <f t="shared" si="5"/>
        <v>A2124015613213</v>
      </c>
      <c r="C110" t="s">
        <v>399</v>
      </c>
      <c r="D110" t="s">
        <v>327</v>
      </c>
      <c r="E110">
        <v>561</v>
      </c>
      <c r="F110" t="s">
        <v>374</v>
      </c>
      <c r="G110" t="s">
        <v>379</v>
      </c>
      <c r="H110" t="s">
        <v>380</v>
      </c>
      <c r="I110" t="s">
        <v>69</v>
      </c>
      <c r="J110" t="s">
        <v>203</v>
      </c>
      <c r="K110" t="str">
        <f t="shared" si="4"/>
        <v/>
      </c>
      <c r="L110" t="s">
        <v>71</v>
      </c>
    </row>
    <row r="111" spans="2:12" x14ac:dyDescent="0.2">
      <c r="B111" t="str">
        <f t="shared" si="5"/>
        <v>A2124014313211</v>
      </c>
      <c r="C111" t="s">
        <v>399</v>
      </c>
      <c r="D111" t="s">
        <v>327</v>
      </c>
      <c r="E111">
        <v>431</v>
      </c>
      <c r="F111" t="s">
        <v>374</v>
      </c>
      <c r="G111" t="s">
        <v>379</v>
      </c>
      <c r="H111" t="s">
        <v>380</v>
      </c>
      <c r="I111" t="s">
        <v>130</v>
      </c>
      <c r="J111" t="s">
        <v>131</v>
      </c>
      <c r="K111" t="str">
        <f t="shared" si="4"/>
        <v/>
      </c>
      <c r="L111" t="s">
        <v>132</v>
      </c>
    </row>
    <row r="112" spans="2:12" x14ac:dyDescent="0.2">
      <c r="B112" t="str">
        <f t="shared" si="5"/>
        <v>A2124014313227</v>
      </c>
      <c r="C112" t="s">
        <v>399</v>
      </c>
      <c r="D112" t="s">
        <v>327</v>
      </c>
      <c r="E112">
        <v>431</v>
      </c>
      <c r="F112" t="s">
        <v>374</v>
      </c>
      <c r="G112" t="s">
        <v>379</v>
      </c>
      <c r="H112" t="s">
        <v>381</v>
      </c>
      <c r="I112" t="s">
        <v>138</v>
      </c>
      <c r="J112" t="s">
        <v>139</v>
      </c>
      <c r="K112" t="str">
        <f t="shared" si="4"/>
        <v/>
      </c>
      <c r="L112" t="s">
        <v>140</v>
      </c>
    </row>
    <row r="113" spans="2:12" x14ac:dyDescent="0.2">
      <c r="B113" t="str">
        <f t="shared" si="5"/>
        <v>A2124014313233</v>
      </c>
      <c r="C113" t="s">
        <v>399</v>
      </c>
      <c r="D113" t="s">
        <v>327</v>
      </c>
      <c r="E113">
        <v>431</v>
      </c>
      <c r="F113" t="s">
        <v>374</v>
      </c>
      <c r="G113" t="s">
        <v>379</v>
      </c>
      <c r="H113" t="s">
        <v>382</v>
      </c>
      <c r="I113" t="s">
        <v>91</v>
      </c>
      <c r="J113" t="s">
        <v>143</v>
      </c>
      <c r="K113" t="str">
        <f t="shared" si="4"/>
        <v/>
      </c>
      <c r="L113" t="s">
        <v>93</v>
      </c>
    </row>
    <row r="114" spans="2:12" x14ac:dyDescent="0.2">
      <c r="B114" t="str">
        <f t="shared" si="5"/>
        <v>A2124014313236</v>
      </c>
      <c r="C114" t="s">
        <v>399</v>
      </c>
      <c r="D114" t="s">
        <v>327</v>
      </c>
      <c r="E114">
        <v>431</v>
      </c>
      <c r="F114" t="s">
        <v>374</v>
      </c>
      <c r="G114" t="s">
        <v>379</v>
      </c>
      <c r="H114" t="s">
        <v>382</v>
      </c>
      <c r="I114" t="s">
        <v>100</v>
      </c>
      <c r="J114" t="s">
        <v>146</v>
      </c>
      <c r="K114" t="str">
        <f t="shared" si="4"/>
        <v/>
      </c>
      <c r="L114" t="s">
        <v>102</v>
      </c>
    </row>
    <row r="115" spans="2:12" x14ac:dyDescent="0.2">
      <c r="B115" t="str">
        <f t="shared" si="5"/>
        <v>A2124014313293</v>
      </c>
      <c r="C115" t="s">
        <v>399</v>
      </c>
      <c r="D115" t="s">
        <v>327</v>
      </c>
      <c r="E115">
        <v>431</v>
      </c>
      <c r="F115" t="s">
        <v>374</v>
      </c>
      <c r="G115" t="s">
        <v>379</v>
      </c>
      <c r="H115" t="s">
        <v>383</v>
      </c>
      <c r="I115" t="s">
        <v>154</v>
      </c>
      <c r="J115" t="s">
        <v>155</v>
      </c>
      <c r="K115" t="str">
        <f t="shared" si="4"/>
        <v/>
      </c>
      <c r="L115" t="s">
        <v>156</v>
      </c>
    </row>
    <row r="116" spans="2:12" x14ac:dyDescent="0.2">
      <c r="B116" t="str">
        <f t="shared" si="5"/>
        <v>A2124014313433</v>
      </c>
      <c r="C116" t="s">
        <v>399</v>
      </c>
      <c r="D116" t="s">
        <v>327</v>
      </c>
      <c r="E116">
        <v>431</v>
      </c>
      <c r="F116" t="s">
        <v>374</v>
      </c>
      <c r="G116" t="s">
        <v>384</v>
      </c>
      <c r="H116" t="s">
        <v>385</v>
      </c>
      <c r="I116" t="s">
        <v>163</v>
      </c>
      <c r="J116" t="s">
        <v>164</v>
      </c>
      <c r="K116" t="str">
        <f t="shared" si="4"/>
        <v/>
      </c>
      <c r="L116" t="s">
        <v>165</v>
      </c>
    </row>
    <row r="117" spans="2:12" x14ac:dyDescent="0.2">
      <c r="B117" t="str">
        <f t="shared" si="5"/>
        <v>K2124015214221</v>
      </c>
      <c r="C117" t="s">
        <v>399</v>
      </c>
      <c r="D117" t="s">
        <v>331</v>
      </c>
      <c r="E117">
        <v>521</v>
      </c>
      <c r="F117" t="s">
        <v>391</v>
      </c>
      <c r="G117" t="s">
        <v>392</v>
      </c>
      <c r="H117" t="s">
        <v>393</v>
      </c>
      <c r="I117" t="s">
        <v>27</v>
      </c>
      <c r="J117" t="s">
        <v>28</v>
      </c>
      <c r="K117" t="str">
        <f t="shared" si="4"/>
        <v/>
      </c>
      <c r="L117" t="s">
        <v>29</v>
      </c>
    </row>
    <row r="118" spans="2:12" x14ac:dyDescent="0.2">
      <c r="B118" t="str">
        <f t="shared" si="5"/>
        <v>K2124015214241</v>
      </c>
      <c r="C118" t="s">
        <v>399</v>
      </c>
      <c r="D118" t="s">
        <v>331</v>
      </c>
      <c r="E118">
        <v>521</v>
      </c>
      <c r="F118" t="s">
        <v>391</v>
      </c>
      <c r="G118" t="s">
        <v>392</v>
      </c>
      <c r="H118" t="s">
        <v>395</v>
      </c>
      <c r="I118" t="s">
        <v>17</v>
      </c>
      <c r="J118" t="s">
        <v>33</v>
      </c>
      <c r="K118" t="str">
        <f t="shared" si="4"/>
        <v/>
      </c>
      <c r="L118" t="s">
        <v>19</v>
      </c>
    </row>
    <row r="119" spans="2:12" x14ac:dyDescent="0.2">
      <c r="B119" t="str">
        <f t="shared" si="5"/>
        <v>A2124025213211</v>
      </c>
      <c r="C119" t="s">
        <v>399</v>
      </c>
      <c r="D119" t="s">
        <v>328</v>
      </c>
      <c r="E119">
        <v>521</v>
      </c>
      <c r="F119" t="s">
        <v>374</v>
      </c>
      <c r="G119" t="s">
        <v>379</v>
      </c>
      <c r="H119" t="s">
        <v>380</v>
      </c>
      <c r="I119" t="s">
        <v>130</v>
      </c>
      <c r="J119" t="s">
        <v>233</v>
      </c>
      <c r="K119" t="str">
        <f t="shared" si="4"/>
        <v/>
      </c>
      <c r="L119" t="s">
        <v>132</v>
      </c>
    </row>
    <row r="120" spans="2:12" x14ac:dyDescent="0.2">
      <c r="B120" t="str">
        <f t="shared" si="5"/>
        <v>A2124025213213</v>
      </c>
      <c r="C120" t="s">
        <v>399</v>
      </c>
      <c r="D120" t="s">
        <v>328</v>
      </c>
      <c r="E120">
        <v>521</v>
      </c>
      <c r="F120" t="s">
        <v>374</v>
      </c>
      <c r="G120" t="s">
        <v>379</v>
      </c>
      <c r="H120" t="s">
        <v>380</v>
      </c>
      <c r="I120" t="s">
        <v>69</v>
      </c>
      <c r="J120" t="s">
        <v>234</v>
      </c>
      <c r="K120" t="str">
        <f t="shared" si="4"/>
        <v/>
      </c>
      <c r="L120" t="s">
        <v>71</v>
      </c>
    </row>
    <row r="121" spans="2:12" x14ac:dyDescent="0.2">
      <c r="B121" t="str">
        <f t="shared" si="5"/>
        <v>A2124025213221</v>
      </c>
      <c r="C121" t="s">
        <v>399</v>
      </c>
      <c r="D121" t="s">
        <v>328</v>
      </c>
      <c r="E121">
        <v>521</v>
      </c>
      <c r="F121" t="s">
        <v>374</v>
      </c>
      <c r="G121" t="s">
        <v>379</v>
      </c>
      <c r="H121" t="s">
        <v>381</v>
      </c>
      <c r="I121" t="s">
        <v>72</v>
      </c>
      <c r="J121" t="s">
        <v>235</v>
      </c>
      <c r="K121" t="str">
        <f t="shared" si="4"/>
        <v/>
      </c>
      <c r="L121" t="s">
        <v>74</v>
      </c>
    </row>
    <row r="122" spans="2:12" x14ac:dyDescent="0.2">
      <c r="B122" t="str">
        <f t="shared" si="5"/>
        <v>A2124025213222</v>
      </c>
      <c r="C122" t="s">
        <v>399</v>
      </c>
      <c r="D122" t="s">
        <v>328</v>
      </c>
      <c r="E122">
        <v>521</v>
      </c>
      <c r="F122" t="s">
        <v>374</v>
      </c>
      <c r="G122" t="s">
        <v>379</v>
      </c>
      <c r="H122" t="s">
        <v>381</v>
      </c>
      <c r="I122" t="s">
        <v>75</v>
      </c>
      <c r="J122" t="s">
        <v>236</v>
      </c>
      <c r="K122" t="str">
        <f t="shared" si="4"/>
        <v/>
      </c>
      <c r="L122" t="s">
        <v>77</v>
      </c>
    </row>
    <row r="123" spans="2:12" x14ac:dyDescent="0.2">
      <c r="B123" t="str">
        <f t="shared" si="5"/>
        <v>A2124025213225</v>
      </c>
      <c r="C123" t="s">
        <v>399</v>
      </c>
      <c r="D123" t="s">
        <v>328</v>
      </c>
      <c r="E123">
        <v>521</v>
      </c>
      <c r="F123" t="s">
        <v>374</v>
      </c>
      <c r="G123" t="s">
        <v>379</v>
      </c>
      <c r="H123" t="s">
        <v>381</v>
      </c>
      <c r="I123" t="s">
        <v>84</v>
      </c>
      <c r="J123" t="s">
        <v>239</v>
      </c>
      <c r="K123" t="str">
        <f t="shared" si="4"/>
        <v/>
      </c>
      <c r="L123" t="s">
        <v>86</v>
      </c>
    </row>
    <row r="124" spans="2:12" x14ac:dyDescent="0.2">
      <c r="B124" t="str">
        <f t="shared" si="5"/>
        <v>A2124025213231</v>
      </c>
      <c r="C124" t="s">
        <v>399</v>
      </c>
      <c r="D124" t="s">
        <v>328</v>
      </c>
      <c r="E124">
        <v>521</v>
      </c>
      <c r="F124" t="s">
        <v>374</v>
      </c>
      <c r="G124" t="s">
        <v>379</v>
      </c>
      <c r="H124" t="s">
        <v>382</v>
      </c>
      <c r="I124" t="s">
        <v>87</v>
      </c>
      <c r="J124" t="s">
        <v>240</v>
      </c>
      <c r="K124" t="str">
        <f t="shared" si="4"/>
        <v/>
      </c>
      <c r="L124" t="s">
        <v>89</v>
      </c>
    </row>
    <row r="125" spans="2:12" x14ac:dyDescent="0.2">
      <c r="B125" t="str">
        <f t="shared" si="5"/>
        <v>A2124025213233</v>
      </c>
      <c r="C125" t="s">
        <v>399</v>
      </c>
      <c r="D125" t="s">
        <v>328</v>
      </c>
      <c r="E125">
        <v>521</v>
      </c>
      <c r="F125" t="s">
        <v>374</v>
      </c>
      <c r="G125" t="s">
        <v>379</v>
      </c>
      <c r="H125" t="s">
        <v>382</v>
      </c>
      <c r="I125" t="s">
        <v>91</v>
      </c>
      <c r="J125" t="s">
        <v>241</v>
      </c>
      <c r="K125" t="str">
        <f t="shared" si="4"/>
        <v/>
      </c>
      <c r="L125" t="s">
        <v>93</v>
      </c>
    </row>
    <row r="126" spans="2:12" x14ac:dyDescent="0.2">
      <c r="B126" t="str">
        <f t="shared" si="5"/>
        <v>A2124025213235</v>
      </c>
      <c r="C126" t="s">
        <v>399</v>
      </c>
      <c r="D126" t="s">
        <v>328</v>
      </c>
      <c r="E126">
        <v>521</v>
      </c>
      <c r="F126" t="s">
        <v>374</v>
      </c>
      <c r="G126" t="s">
        <v>379</v>
      </c>
      <c r="H126" t="s">
        <v>382</v>
      </c>
      <c r="I126" t="s">
        <v>97</v>
      </c>
      <c r="J126" t="s">
        <v>242</v>
      </c>
      <c r="K126" t="str">
        <f t="shared" si="4"/>
        <v/>
      </c>
      <c r="L126" t="s">
        <v>99</v>
      </c>
    </row>
    <row r="127" spans="2:12" x14ac:dyDescent="0.2">
      <c r="B127" t="str">
        <f t="shared" si="5"/>
        <v>A2124025213237</v>
      </c>
      <c r="C127" t="s">
        <v>399</v>
      </c>
      <c r="D127" t="s">
        <v>328</v>
      </c>
      <c r="E127">
        <v>521</v>
      </c>
      <c r="F127" t="s">
        <v>374</v>
      </c>
      <c r="G127" t="s">
        <v>379</v>
      </c>
      <c r="H127" t="s">
        <v>382</v>
      </c>
      <c r="I127" t="s">
        <v>41</v>
      </c>
      <c r="J127" t="s">
        <v>243</v>
      </c>
      <c r="K127" t="str">
        <f t="shared" si="4"/>
        <v/>
      </c>
      <c r="L127" t="s">
        <v>43</v>
      </c>
    </row>
    <row r="128" spans="2:12" x14ac:dyDescent="0.2">
      <c r="B128" t="str">
        <f t="shared" si="5"/>
        <v>A2124025213238</v>
      </c>
      <c r="C128" t="s">
        <v>399</v>
      </c>
      <c r="D128" t="s">
        <v>328</v>
      </c>
      <c r="E128">
        <v>521</v>
      </c>
      <c r="F128" t="s">
        <v>374</v>
      </c>
      <c r="G128" t="s">
        <v>379</v>
      </c>
      <c r="H128" t="s">
        <v>382</v>
      </c>
      <c r="I128" t="s">
        <v>104</v>
      </c>
      <c r="J128" t="s">
        <v>244</v>
      </c>
      <c r="K128" t="str">
        <f t="shared" si="4"/>
        <v/>
      </c>
      <c r="L128" t="s">
        <v>106</v>
      </c>
    </row>
    <row r="129" spans="2:12" x14ac:dyDescent="0.2">
      <c r="B129" t="str">
        <f t="shared" si="5"/>
        <v>A2124025213239</v>
      </c>
      <c r="C129" t="s">
        <v>399</v>
      </c>
      <c r="D129" t="s">
        <v>328</v>
      </c>
      <c r="E129">
        <v>521</v>
      </c>
      <c r="F129" t="s">
        <v>374</v>
      </c>
      <c r="G129" t="s">
        <v>379</v>
      </c>
      <c r="H129" t="s">
        <v>382</v>
      </c>
      <c r="I129" t="s">
        <v>126</v>
      </c>
      <c r="J129" t="s">
        <v>245</v>
      </c>
      <c r="K129" t="str">
        <f t="shared" si="4"/>
        <v/>
      </c>
      <c r="L129" t="s">
        <v>128</v>
      </c>
    </row>
    <row r="130" spans="2:12" x14ac:dyDescent="0.2">
      <c r="B130" t="str">
        <f t="shared" si="5"/>
        <v>A2124025213241</v>
      </c>
      <c r="C130" t="s">
        <v>399</v>
      </c>
      <c r="D130" t="s">
        <v>328</v>
      </c>
      <c r="E130">
        <v>521</v>
      </c>
      <c r="F130" t="s">
        <v>374</v>
      </c>
      <c r="G130" t="s">
        <v>379</v>
      </c>
      <c r="H130" t="s">
        <v>388</v>
      </c>
      <c r="I130" t="s">
        <v>150</v>
      </c>
      <c r="J130" t="s">
        <v>246</v>
      </c>
      <c r="K130" t="str">
        <f t="shared" si="4"/>
        <v/>
      </c>
      <c r="L130" t="s">
        <v>152</v>
      </c>
    </row>
    <row r="131" spans="2:12" x14ac:dyDescent="0.2">
      <c r="B131" t="str">
        <f t="shared" si="5"/>
        <v>A2124025213293</v>
      </c>
      <c r="C131" t="s">
        <v>399</v>
      </c>
      <c r="D131" t="s">
        <v>328</v>
      </c>
      <c r="E131">
        <v>521</v>
      </c>
      <c r="F131" t="s">
        <v>374</v>
      </c>
      <c r="G131" t="s">
        <v>379</v>
      </c>
      <c r="H131" t="s">
        <v>383</v>
      </c>
      <c r="I131" t="s">
        <v>154</v>
      </c>
      <c r="J131" t="s">
        <v>247</v>
      </c>
      <c r="K131" t="str">
        <f t="shared" si="4"/>
        <v/>
      </c>
      <c r="L131" t="s">
        <v>156</v>
      </c>
    </row>
    <row r="132" spans="2:12" x14ac:dyDescent="0.2">
      <c r="B132" t="str">
        <f t="shared" si="5"/>
        <v>K2124015414221</v>
      </c>
      <c r="C132" t="s">
        <v>399</v>
      </c>
      <c r="D132" t="s">
        <v>331</v>
      </c>
      <c r="E132">
        <v>541</v>
      </c>
      <c r="F132" t="s">
        <v>391</v>
      </c>
      <c r="G132" t="s">
        <v>392</v>
      </c>
      <c r="H132" t="s">
        <v>393</v>
      </c>
      <c r="I132" t="s">
        <v>27</v>
      </c>
      <c r="J132" t="s">
        <v>35</v>
      </c>
      <c r="K132" t="str">
        <f t="shared" si="4"/>
        <v/>
      </c>
      <c r="L132" t="s">
        <v>29</v>
      </c>
    </row>
    <row r="133" spans="2:12" x14ac:dyDescent="0.2">
      <c r="B133" t="str">
        <f t="shared" si="5"/>
        <v>K2124015414241</v>
      </c>
      <c r="C133" t="s">
        <v>399</v>
      </c>
      <c r="D133" t="s">
        <v>331</v>
      </c>
      <c r="E133">
        <v>541</v>
      </c>
      <c r="F133" t="s">
        <v>391</v>
      </c>
      <c r="G133" t="s">
        <v>392</v>
      </c>
      <c r="H133" t="s">
        <v>395</v>
      </c>
      <c r="I133" t="s">
        <v>17</v>
      </c>
      <c r="J133" t="s">
        <v>36</v>
      </c>
      <c r="K133" t="str">
        <f t="shared" si="4"/>
        <v/>
      </c>
      <c r="L133" t="s">
        <v>19</v>
      </c>
    </row>
    <row r="134" spans="2:12" x14ac:dyDescent="0.2">
      <c r="B134" t="str">
        <f t="shared" ref="B134:B165" si="6">CONCATENATE(D134,E134,I134)</f>
        <v>A2124015213214</v>
      </c>
      <c r="C134" t="s">
        <v>399</v>
      </c>
      <c r="D134" t="s">
        <v>327</v>
      </c>
      <c r="E134">
        <v>521</v>
      </c>
      <c r="F134" t="s">
        <v>374</v>
      </c>
      <c r="G134" t="s">
        <v>379</v>
      </c>
      <c r="H134" t="s">
        <v>380</v>
      </c>
      <c r="I134" t="s">
        <v>172</v>
      </c>
      <c r="J134" t="s">
        <v>173</v>
      </c>
      <c r="K134" t="str">
        <f t="shared" si="4"/>
        <v/>
      </c>
      <c r="L134" t="s">
        <v>174</v>
      </c>
    </row>
    <row r="135" spans="2:12" x14ac:dyDescent="0.2">
      <c r="B135" t="str">
        <f t="shared" si="6"/>
        <v>A2124015213224</v>
      </c>
      <c r="C135" t="s">
        <v>399</v>
      </c>
      <c r="D135" t="s">
        <v>327</v>
      </c>
      <c r="E135">
        <v>521</v>
      </c>
      <c r="F135" t="s">
        <v>374</v>
      </c>
      <c r="G135" t="s">
        <v>379</v>
      </c>
      <c r="H135" t="s">
        <v>381</v>
      </c>
      <c r="I135" t="s">
        <v>81</v>
      </c>
      <c r="J135" t="s">
        <v>178</v>
      </c>
      <c r="K135" t="str">
        <f t="shared" si="4"/>
        <v/>
      </c>
      <c r="L135" t="s">
        <v>83</v>
      </c>
    </row>
    <row r="136" spans="2:12" x14ac:dyDescent="0.2">
      <c r="B136" t="str">
        <f t="shared" si="6"/>
        <v>A2124025213224</v>
      </c>
      <c r="C136" t="s">
        <v>399</v>
      </c>
      <c r="D136" t="s">
        <v>328</v>
      </c>
      <c r="E136">
        <v>521</v>
      </c>
      <c r="F136" t="s">
        <v>374</v>
      </c>
      <c r="G136" t="s">
        <v>379</v>
      </c>
      <c r="H136" t="s">
        <v>381</v>
      </c>
      <c r="I136" t="s">
        <v>81</v>
      </c>
      <c r="J136" t="s">
        <v>238</v>
      </c>
      <c r="K136" t="str">
        <f t="shared" si="4"/>
        <v/>
      </c>
      <c r="L136" t="s">
        <v>83</v>
      </c>
    </row>
    <row r="137" spans="2:12" x14ac:dyDescent="0.2">
      <c r="B137" t="str">
        <f t="shared" si="6"/>
        <v>A2124025213294</v>
      </c>
      <c r="C137" t="s">
        <v>399</v>
      </c>
      <c r="D137" t="s">
        <v>328</v>
      </c>
      <c r="E137">
        <v>521</v>
      </c>
      <c r="F137" t="s">
        <v>374</v>
      </c>
      <c r="G137" t="s">
        <v>379</v>
      </c>
      <c r="H137" t="s">
        <v>383</v>
      </c>
      <c r="I137" t="s">
        <v>113</v>
      </c>
      <c r="J137" t="s">
        <v>248</v>
      </c>
      <c r="K137" t="str">
        <f t="shared" ref="K137:K173" si="7">IF(J137=J136,"D","")</f>
        <v/>
      </c>
      <c r="L137" t="s">
        <v>115</v>
      </c>
    </row>
    <row r="138" spans="2:12" x14ac:dyDescent="0.2">
      <c r="B138" t="str">
        <f t="shared" si="6"/>
        <v>A2124015613237</v>
      </c>
      <c r="C138" t="s">
        <v>399</v>
      </c>
      <c r="D138" t="s">
        <v>327</v>
      </c>
      <c r="E138">
        <v>561</v>
      </c>
      <c r="F138" t="s">
        <v>374</v>
      </c>
      <c r="G138" t="s">
        <v>379</v>
      </c>
      <c r="H138" t="s">
        <v>382</v>
      </c>
      <c r="I138" t="s">
        <v>41</v>
      </c>
      <c r="J138" t="s">
        <v>206</v>
      </c>
      <c r="K138" t="str">
        <f t="shared" si="7"/>
        <v/>
      </c>
      <c r="L138" t="s">
        <v>43</v>
      </c>
    </row>
    <row r="139" spans="2:12" x14ac:dyDescent="0.2">
      <c r="B139" t="str">
        <f t="shared" si="6"/>
        <v>A2124015613239</v>
      </c>
      <c r="C139" t="s">
        <v>399</v>
      </c>
      <c r="D139" t="s">
        <v>327</v>
      </c>
      <c r="E139">
        <v>561</v>
      </c>
      <c r="F139" t="s">
        <v>374</v>
      </c>
      <c r="G139" t="s">
        <v>379</v>
      </c>
      <c r="H139" t="s">
        <v>382</v>
      </c>
      <c r="I139">
        <v>3239</v>
      </c>
      <c r="J139" t="s">
        <v>206</v>
      </c>
      <c r="K139" t="str">
        <f t="shared" si="7"/>
        <v>D</v>
      </c>
      <c r="L139" t="s">
        <v>128</v>
      </c>
    </row>
    <row r="140" spans="2:12" x14ac:dyDescent="0.2">
      <c r="B140" t="str">
        <f t="shared" si="6"/>
        <v>A2124015613232</v>
      </c>
      <c r="C140" t="s">
        <v>399</v>
      </c>
      <c r="D140" t="s">
        <v>327</v>
      </c>
      <c r="E140">
        <v>561</v>
      </c>
      <c r="F140" t="s">
        <v>374</v>
      </c>
      <c r="G140" t="s">
        <v>379</v>
      </c>
      <c r="H140" t="s">
        <v>382</v>
      </c>
      <c r="I140" t="s">
        <v>38</v>
      </c>
      <c r="J140" t="s">
        <v>204</v>
      </c>
      <c r="K140" t="str">
        <f t="shared" si="7"/>
        <v/>
      </c>
      <c r="L140" t="s">
        <v>40</v>
      </c>
    </row>
    <row r="141" spans="2:12" x14ac:dyDescent="0.2">
      <c r="B141" t="str">
        <f t="shared" si="6"/>
        <v>A2124015413222</v>
      </c>
      <c r="C141" t="s">
        <v>399</v>
      </c>
      <c r="D141" t="s">
        <v>327</v>
      </c>
      <c r="E141">
        <v>541</v>
      </c>
      <c r="F141" t="s">
        <v>374</v>
      </c>
      <c r="G141" t="s">
        <v>379</v>
      </c>
      <c r="H141" t="s">
        <v>381</v>
      </c>
      <c r="I141" t="s">
        <v>75</v>
      </c>
      <c r="J141" t="s">
        <v>197</v>
      </c>
      <c r="K141" t="str">
        <f t="shared" si="7"/>
        <v/>
      </c>
      <c r="L141" t="s">
        <v>77</v>
      </c>
    </row>
    <row r="142" spans="2:12" x14ac:dyDescent="0.2">
      <c r="B142" t="str">
        <f t="shared" si="6"/>
        <v>A2124015413225</v>
      </c>
      <c r="C142" t="s">
        <v>399</v>
      </c>
      <c r="D142" t="s">
        <v>327</v>
      </c>
      <c r="E142">
        <v>541</v>
      </c>
      <c r="F142" t="s">
        <v>374</v>
      </c>
      <c r="G142" t="s">
        <v>379</v>
      </c>
      <c r="H142" t="s">
        <v>381</v>
      </c>
      <c r="I142" t="s">
        <v>84</v>
      </c>
      <c r="J142" t="s">
        <v>198</v>
      </c>
      <c r="K142" t="str">
        <f t="shared" si="7"/>
        <v/>
      </c>
      <c r="L142" t="s">
        <v>86</v>
      </c>
    </row>
    <row r="143" spans="2:12" x14ac:dyDescent="0.2">
      <c r="B143" t="str">
        <f t="shared" si="6"/>
        <v>A2124015413235</v>
      </c>
      <c r="C143" t="s">
        <v>399</v>
      </c>
      <c r="D143" t="s">
        <v>327</v>
      </c>
      <c r="E143">
        <v>541</v>
      </c>
      <c r="F143" t="s">
        <v>374</v>
      </c>
      <c r="G143" t="s">
        <v>379</v>
      </c>
      <c r="H143" t="s">
        <v>382</v>
      </c>
      <c r="I143" t="s">
        <v>97</v>
      </c>
      <c r="J143" t="s">
        <v>199</v>
      </c>
      <c r="K143" t="str">
        <f t="shared" si="7"/>
        <v/>
      </c>
      <c r="L143" t="s">
        <v>99</v>
      </c>
    </row>
    <row r="144" spans="2:12" x14ac:dyDescent="0.2">
      <c r="B144" t="str">
        <f t="shared" si="6"/>
        <v>A2124015413293</v>
      </c>
      <c r="C144" t="s">
        <v>399</v>
      </c>
      <c r="D144" t="s">
        <v>327</v>
      </c>
      <c r="E144">
        <v>541</v>
      </c>
      <c r="F144" t="s">
        <v>374</v>
      </c>
      <c r="G144" t="s">
        <v>379</v>
      </c>
      <c r="H144" t="s">
        <v>383</v>
      </c>
      <c r="I144" t="s">
        <v>154</v>
      </c>
      <c r="J144" t="s">
        <v>200</v>
      </c>
      <c r="K144" t="str">
        <f t="shared" si="7"/>
        <v/>
      </c>
      <c r="L144" t="s">
        <v>156</v>
      </c>
    </row>
    <row r="145" spans="2:12" x14ac:dyDescent="0.2">
      <c r="B145" t="str">
        <f t="shared" si="6"/>
        <v>A2124025413239</v>
      </c>
      <c r="C145" t="s">
        <v>399</v>
      </c>
      <c r="D145" t="s">
        <v>328</v>
      </c>
      <c r="E145">
        <v>541</v>
      </c>
      <c r="F145" t="s">
        <v>374</v>
      </c>
      <c r="G145" t="s">
        <v>379</v>
      </c>
      <c r="H145" t="s">
        <v>382</v>
      </c>
      <c r="I145" t="s">
        <v>126</v>
      </c>
      <c r="J145" t="s">
        <v>255</v>
      </c>
      <c r="K145" t="str">
        <f t="shared" si="7"/>
        <v/>
      </c>
      <c r="L145" t="s">
        <v>128</v>
      </c>
    </row>
    <row r="146" spans="2:12" x14ac:dyDescent="0.2">
      <c r="B146" t="str">
        <f t="shared" si="6"/>
        <v>A2124025213223</v>
      </c>
      <c r="C146" t="s">
        <v>399</v>
      </c>
      <c r="D146" t="s">
        <v>328</v>
      </c>
      <c r="E146">
        <v>521</v>
      </c>
      <c r="F146" t="s">
        <v>374</v>
      </c>
      <c r="G146" t="s">
        <v>379</v>
      </c>
      <c r="H146" t="s">
        <v>381</v>
      </c>
      <c r="I146" t="s">
        <v>78</v>
      </c>
      <c r="J146" t="s">
        <v>237</v>
      </c>
      <c r="K146" t="str">
        <f t="shared" si="7"/>
        <v/>
      </c>
      <c r="L146" t="s">
        <v>80</v>
      </c>
    </row>
    <row r="147" spans="2:12" x14ac:dyDescent="0.2">
      <c r="B147" t="str">
        <f t="shared" si="6"/>
        <v>K2124015713232</v>
      </c>
      <c r="C147" t="s">
        <v>399</v>
      </c>
      <c r="D147" t="s">
        <v>331</v>
      </c>
      <c r="E147">
        <v>571</v>
      </c>
      <c r="F147" t="s">
        <v>374</v>
      </c>
      <c r="G147" t="s">
        <v>379</v>
      </c>
      <c r="H147" t="s">
        <v>382</v>
      </c>
      <c r="I147" t="s">
        <v>38</v>
      </c>
      <c r="J147" t="s">
        <v>39</v>
      </c>
      <c r="K147" t="str">
        <f t="shared" si="7"/>
        <v/>
      </c>
      <c r="L147" t="s">
        <v>40</v>
      </c>
    </row>
    <row r="148" spans="2:12" x14ac:dyDescent="0.2">
      <c r="B148" t="str">
        <f t="shared" si="6"/>
        <v>K2124015713237</v>
      </c>
      <c r="C148" t="s">
        <v>399</v>
      </c>
      <c r="D148" t="s">
        <v>331</v>
      </c>
      <c r="E148">
        <v>571</v>
      </c>
      <c r="F148" t="s">
        <v>374</v>
      </c>
      <c r="G148" t="s">
        <v>379</v>
      </c>
      <c r="H148" t="s">
        <v>382</v>
      </c>
      <c r="I148" t="s">
        <v>41</v>
      </c>
      <c r="J148" t="s">
        <v>42</v>
      </c>
      <c r="K148" t="str">
        <f t="shared" si="7"/>
        <v/>
      </c>
      <c r="L148" t="s">
        <v>43</v>
      </c>
    </row>
    <row r="149" spans="2:12" x14ac:dyDescent="0.2">
      <c r="B149" t="str">
        <f t="shared" si="6"/>
        <v>A2124025213299</v>
      </c>
      <c r="C149" t="s">
        <v>399</v>
      </c>
      <c r="D149" t="s">
        <v>328</v>
      </c>
      <c r="E149">
        <v>521</v>
      </c>
      <c r="F149" t="s">
        <v>374</v>
      </c>
      <c r="G149" t="s">
        <v>379</v>
      </c>
      <c r="H149" t="s">
        <v>383</v>
      </c>
      <c r="I149" t="s">
        <v>159</v>
      </c>
      <c r="J149" t="s">
        <v>249</v>
      </c>
      <c r="K149" t="str">
        <f t="shared" si="7"/>
        <v/>
      </c>
      <c r="L149" t="s">
        <v>161</v>
      </c>
    </row>
    <row r="150" spans="2:12" x14ac:dyDescent="0.2">
      <c r="B150" t="str">
        <f t="shared" si="6"/>
        <v>K2124014314222</v>
      </c>
      <c r="C150" t="s">
        <v>399</v>
      </c>
      <c r="D150" t="s">
        <v>331</v>
      </c>
      <c r="E150">
        <v>431</v>
      </c>
      <c r="F150" t="s">
        <v>391</v>
      </c>
      <c r="G150" t="s">
        <v>392</v>
      </c>
      <c r="H150" t="s">
        <v>393</v>
      </c>
      <c r="I150" t="s">
        <v>272</v>
      </c>
      <c r="J150" t="s">
        <v>273</v>
      </c>
      <c r="K150" t="str">
        <f t="shared" si="7"/>
        <v/>
      </c>
      <c r="L150" t="s">
        <v>274</v>
      </c>
    </row>
    <row r="151" spans="2:12" x14ac:dyDescent="0.2">
      <c r="B151" t="str">
        <f t="shared" si="6"/>
        <v>A2124021123214</v>
      </c>
      <c r="C151" t="s">
        <v>399</v>
      </c>
      <c r="D151" t="s">
        <v>328</v>
      </c>
      <c r="E151">
        <v>112</v>
      </c>
      <c r="F151" t="s">
        <v>374</v>
      </c>
      <c r="G151" t="s">
        <v>379</v>
      </c>
      <c r="H151" t="s">
        <v>380</v>
      </c>
      <c r="I151" t="s">
        <v>172</v>
      </c>
      <c r="J151" t="s">
        <v>210</v>
      </c>
      <c r="K151" t="str">
        <f t="shared" si="7"/>
        <v/>
      </c>
      <c r="L151" t="s">
        <v>174</v>
      </c>
    </row>
    <row r="152" spans="2:12" x14ac:dyDescent="0.2">
      <c r="B152" t="str">
        <f t="shared" si="6"/>
        <v>A2124021123293</v>
      </c>
      <c r="C152" t="s">
        <v>399</v>
      </c>
      <c r="D152" t="s">
        <v>328</v>
      </c>
      <c r="E152">
        <v>112</v>
      </c>
      <c r="F152" t="s">
        <v>374</v>
      </c>
      <c r="G152" t="s">
        <v>379</v>
      </c>
      <c r="H152" t="s">
        <v>383</v>
      </c>
      <c r="I152" t="s">
        <v>154</v>
      </c>
      <c r="J152" t="s">
        <v>220</v>
      </c>
      <c r="K152" t="str">
        <f t="shared" si="7"/>
        <v/>
      </c>
      <c r="L152" t="s">
        <v>156</v>
      </c>
    </row>
    <row r="153" spans="2:12" x14ac:dyDescent="0.2">
      <c r="B153" t="str">
        <f t="shared" si="6"/>
        <v>K2124011124511</v>
      </c>
      <c r="C153" t="s">
        <v>399</v>
      </c>
      <c r="D153" t="s">
        <v>331</v>
      </c>
      <c r="E153">
        <v>112</v>
      </c>
      <c r="F153" t="s">
        <v>391</v>
      </c>
      <c r="G153" t="s">
        <v>396</v>
      </c>
      <c r="H153" t="s">
        <v>397</v>
      </c>
      <c r="I153" t="s">
        <v>23</v>
      </c>
      <c r="J153" t="s">
        <v>270</v>
      </c>
      <c r="K153" t="str">
        <f t="shared" si="7"/>
        <v/>
      </c>
      <c r="L153" t="s">
        <v>25</v>
      </c>
    </row>
    <row r="154" spans="2:12" x14ac:dyDescent="0.2">
      <c r="B154" t="str">
        <f t="shared" si="6"/>
        <v>K2124015714511</v>
      </c>
      <c r="C154" t="s">
        <v>399</v>
      </c>
      <c r="D154" t="s">
        <v>331</v>
      </c>
      <c r="E154">
        <v>571</v>
      </c>
      <c r="F154" t="s">
        <v>391</v>
      </c>
      <c r="G154" t="s">
        <v>396</v>
      </c>
      <c r="H154" t="s">
        <v>397</v>
      </c>
      <c r="I154" t="s">
        <v>23</v>
      </c>
      <c r="J154" t="s">
        <v>44</v>
      </c>
      <c r="K154" t="str">
        <f t="shared" si="7"/>
        <v/>
      </c>
      <c r="L154" t="s">
        <v>25</v>
      </c>
    </row>
    <row r="155" spans="2:12" x14ac:dyDescent="0.2">
      <c r="B155" t="str">
        <f t="shared" si="6"/>
        <v>A2124011123236</v>
      </c>
      <c r="C155" t="s">
        <v>399</v>
      </c>
      <c r="D155" t="s">
        <v>327</v>
      </c>
      <c r="E155">
        <v>112</v>
      </c>
      <c r="F155" t="s">
        <v>374</v>
      </c>
      <c r="G155" t="s">
        <v>379</v>
      </c>
      <c r="H155" t="s">
        <v>382</v>
      </c>
      <c r="I155" t="s">
        <v>100</v>
      </c>
      <c r="J155" t="s">
        <v>101</v>
      </c>
      <c r="K155" t="str">
        <f t="shared" si="7"/>
        <v/>
      </c>
      <c r="L155" t="s">
        <v>102</v>
      </c>
    </row>
    <row r="156" spans="2:12" x14ac:dyDescent="0.2">
      <c r="B156" t="str">
        <f t="shared" si="6"/>
        <v>A2124015713237</v>
      </c>
      <c r="C156" t="s">
        <v>399</v>
      </c>
      <c r="D156" t="s">
        <v>327</v>
      </c>
      <c r="E156">
        <v>571</v>
      </c>
      <c r="F156" t="s">
        <v>374</v>
      </c>
      <c r="G156" t="s">
        <v>379</v>
      </c>
      <c r="H156" t="s">
        <v>382</v>
      </c>
      <c r="I156" t="s">
        <v>41</v>
      </c>
      <c r="J156" t="s">
        <v>208</v>
      </c>
      <c r="K156" t="str">
        <f t="shared" si="7"/>
        <v/>
      </c>
      <c r="L156" t="s">
        <v>43</v>
      </c>
    </row>
    <row r="157" spans="2:12" x14ac:dyDescent="0.2">
      <c r="B157" t="str">
        <f t="shared" si="6"/>
        <v>K2124014314511</v>
      </c>
      <c r="C157" t="s">
        <v>399</v>
      </c>
      <c r="D157" t="s">
        <v>331</v>
      </c>
      <c r="E157">
        <v>431</v>
      </c>
      <c r="F157" t="s">
        <v>391</v>
      </c>
      <c r="G157" t="s">
        <v>396</v>
      </c>
      <c r="H157" t="s">
        <v>397</v>
      </c>
      <c r="I157" t="s">
        <v>23</v>
      </c>
      <c r="J157" t="s">
        <v>24</v>
      </c>
      <c r="K157" t="str">
        <f t="shared" si="7"/>
        <v/>
      </c>
      <c r="L157" t="s">
        <v>25</v>
      </c>
    </row>
    <row r="158" spans="2:12" x14ac:dyDescent="0.2">
      <c r="B158" t="str">
        <f t="shared" si="6"/>
        <v>A2124024313225</v>
      </c>
      <c r="C158" t="s">
        <v>399</v>
      </c>
      <c r="D158" t="s">
        <v>328</v>
      </c>
      <c r="E158">
        <v>431</v>
      </c>
      <c r="F158" t="s">
        <v>374</v>
      </c>
      <c r="G158" t="s">
        <v>379</v>
      </c>
      <c r="H158" t="s">
        <v>381</v>
      </c>
      <c r="I158" t="s">
        <v>84</v>
      </c>
      <c r="J158" t="s">
        <v>225</v>
      </c>
      <c r="K158" t="str">
        <f t="shared" si="7"/>
        <v/>
      </c>
      <c r="L158" t="s">
        <v>86</v>
      </c>
    </row>
    <row r="159" spans="2:12" x14ac:dyDescent="0.2">
      <c r="B159" t="str">
        <f t="shared" si="6"/>
        <v>A2124011123694</v>
      </c>
      <c r="C159" t="s">
        <v>399</v>
      </c>
      <c r="D159" t="s">
        <v>327</v>
      </c>
      <c r="E159">
        <v>112</v>
      </c>
      <c r="F159" t="s">
        <v>374</v>
      </c>
      <c r="G159" t="s">
        <v>386</v>
      </c>
      <c r="H159" t="s">
        <v>387</v>
      </c>
      <c r="I159" t="s">
        <v>122</v>
      </c>
      <c r="J159" t="s">
        <v>123</v>
      </c>
      <c r="K159" t="str">
        <f t="shared" si="7"/>
        <v/>
      </c>
      <c r="L159" t="s">
        <v>124</v>
      </c>
    </row>
    <row r="160" spans="2:12" x14ac:dyDescent="0.2">
      <c r="B160" t="str">
        <f t="shared" si="6"/>
        <v>A2124041123235</v>
      </c>
      <c r="C160" t="s">
        <v>399</v>
      </c>
      <c r="D160" t="s">
        <v>330</v>
      </c>
      <c r="E160">
        <v>112</v>
      </c>
      <c r="F160" t="s">
        <v>374</v>
      </c>
      <c r="G160" t="s">
        <v>379</v>
      </c>
      <c r="H160" t="s">
        <v>382</v>
      </c>
      <c r="I160" t="s">
        <v>97</v>
      </c>
      <c r="J160" t="s">
        <v>259</v>
      </c>
      <c r="K160" t="str">
        <f t="shared" si="7"/>
        <v/>
      </c>
      <c r="L160" t="s">
        <v>99</v>
      </c>
    </row>
    <row r="161" spans="2:12" x14ac:dyDescent="0.2">
      <c r="B161" t="str">
        <f t="shared" si="6"/>
        <v>K2124011123232</v>
      </c>
      <c r="C161" t="s">
        <v>399</v>
      </c>
      <c r="D161" t="s">
        <v>331</v>
      </c>
      <c r="E161">
        <v>112</v>
      </c>
      <c r="F161" t="s">
        <v>374</v>
      </c>
      <c r="G161" t="s">
        <v>379</v>
      </c>
      <c r="H161" t="s">
        <v>382</v>
      </c>
      <c r="I161" t="s">
        <v>38</v>
      </c>
      <c r="J161" t="s">
        <v>265</v>
      </c>
      <c r="K161" t="str">
        <f t="shared" si="7"/>
        <v/>
      </c>
      <c r="L161" t="s">
        <v>40</v>
      </c>
    </row>
    <row r="162" spans="2:12" x14ac:dyDescent="0.2">
      <c r="B162" t="str">
        <f t="shared" si="6"/>
        <v>A2124014313241</v>
      </c>
      <c r="C162" t="s">
        <v>399</v>
      </c>
      <c r="D162" t="s">
        <v>327</v>
      </c>
      <c r="E162">
        <v>431</v>
      </c>
      <c r="F162" t="s">
        <v>374</v>
      </c>
      <c r="G162" t="s">
        <v>379</v>
      </c>
      <c r="H162" t="s">
        <v>388</v>
      </c>
      <c r="I162" t="s">
        <v>150</v>
      </c>
      <c r="J162" t="s">
        <v>151</v>
      </c>
      <c r="K162" t="str">
        <f t="shared" si="7"/>
        <v/>
      </c>
      <c r="L162" t="s">
        <v>152</v>
      </c>
    </row>
    <row r="163" spans="2:12" x14ac:dyDescent="0.2">
      <c r="B163" t="str">
        <f t="shared" si="6"/>
        <v>K2124011124221</v>
      </c>
      <c r="C163" t="s">
        <v>399</v>
      </c>
      <c r="D163" t="s">
        <v>331</v>
      </c>
      <c r="E163">
        <v>112</v>
      </c>
      <c r="F163" t="s">
        <v>391</v>
      </c>
      <c r="G163" t="s">
        <v>392</v>
      </c>
      <c r="H163" t="s">
        <v>393</v>
      </c>
      <c r="I163" t="s">
        <v>27</v>
      </c>
      <c r="J163" t="s">
        <v>266</v>
      </c>
      <c r="K163" t="str">
        <f t="shared" si="7"/>
        <v/>
      </c>
      <c r="L163" t="s">
        <v>29</v>
      </c>
    </row>
    <row r="164" spans="2:12" x14ac:dyDescent="0.2">
      <c r="B164" t="str">
        <f t="shared" si="6"/>
        <v>K2124016114241</v>
      </c>
      <c r="C164" t="s">
        <v>399</v>
      </c>
      <c r="D164" t="s">
        <v>331</v>
      </c>
      <c r="E164">
        <v>611</v>
      </c>
      <c r="F164" t="s">
        <v>391</v>
      </c>
      <c r="G164" t="s">
        <v>392</v>
      </c>
      <c r="H164" t="s">
        <v>395</v>
      </c>
      <c r="I164" t="s">
        <v>17</v>
      </c>
      <c r="J164" t="s">
        <v>47</v>
      </c>
      <c r="K164" t="str">
        <f t="shared" si="7"/>
        <v/>
      </c>
      <c r="L164" t="s">
        <v>19</v>
      </c>
    </row>
    <row r="165" spans="2:12" x14ac:dyDescent="0.2">
      <c r="B165" t="str">
        <f t="shared" si="6"/>
        <v>K2124015214223</v>
      </c>
      <c r="C165" t="s">
        <v>399</v>
      </c>
      <c r="D165" t="s">
        <v>331</v>
      </c>
      <c r="E165">
        <v>521</v>
      </c>
      <c r="F165" t="s">
        <v>391</v>
      </c>
      <c r="G165" t="s">
        <v>392</v>
      </c>
      <c r="H165" t="s">
        <v>393</v>
      </c>
      <c r="I165" t="s">
        <v>30</v>
      </c>
      <c r="J165" t="s">
        <v>31</v>
      </c>
      <c r="K165" t="str">
        <f t="shared" si="7"/>
        <v/>
      </c>
      <c r="L165" t="s">
        <v>32</v>
      </c>
    </row>
    <row r="166" spans="2:12" x14ac:dyDescent="0.2">
      <c r="B166" t="str">
        <f t="shared" ref="B166:B174" si="8">CONCATENATE(D166,E166,I166)</f>
        <v>A2124015613233</v>
      </c>
      <c r="C166" t="s">
        <v>399</v>
      </c>
      <c r="D166" t="s">
        <v>327</v>
      </c>
      <c r="E166">
        <v>561</v>
      </c>
      <c r="F166" t="s">
        <v>374</v>
      </c>
      <c r="G166" t="s">
        <v>379</v>
      </c>
      <c r="H166" t="s">
        <v>382</v>
      </c>
      <c r="I166" t="s">
        <v>91</v>
      </c>
      <c r="J166" t="s">
        <v>205</v>
      </c>
      <c r="K166" t="str">
        <f t="shared" si="7"/>
        <v/>
      </c>
      <c r="L166" t="s">
        <v>93</v>
      </c>
    </row>
    <row r="167" spans="2:12" x14ac:dyDescent="0.2">
      <c r="B167" t="str">
        <f t="shared" si="8"/>
        <v>A2124015613293</v>
      </c>
      <c r="C167" t="s">
        <v>399</v>
      </c>
      <c r="D167" t="s">
        <v>327</v>
      </c>
      <c r="E167">
        <v>561</v>
      </c>
      <c r="F167" t="s">
        <v>374</v>
      </c>
      <c r="G167" t="s">
        <v>379</v>
      </c>
      <c r="H167" t="s">
        <v>383</v>
      </c>
      <c r="I167" t="s">
        <v>154</v>
      </c>
      <c r="J167" t="s">
        <v>207</v>
      </c>
      <c r="K167" t="str">
        <f t="shared" si="7"/>
        <v/>
      </c>
      <c r="L167" t="s">
        <v>156</v>
      </c>
    </row>
    <row r="168" spans="2:12" x14ac:dyDescent="0.2">
      <c r="B168" t="str">
        <f t="shared" si="8"/>
        <v>K2124011124231</v>
      </c>
      <c r="C168" t="s">
        <v>399</v>
      </c>
      <c r="D168" t="s">
        <v>331</v>
      </c>
      <c r="E168">
        <v>112</v>
      </c>
      <c r="F168" t="s">
        <v>391</v>
      </c>
      <c r="G168" t="s">
        <v>392</v>
      </c>
      <c r="H168" t="s">
        <v>394</v>
      </c>
      <c r="I168" t="s">
        <v>14</v>
      </c>
      <c r="J168" t="s">
        <v>268</v>
      </c>
      <c r="K168" t="str">
        <f t="shared" si="7"/>
        <v/>
      </c>
      <c r="L168" t="s">
        <v>16</v>
      </c>
    </row>
    <row r="169" spans="2:12" x14ac:dyDescent="0.2">
      <c r="B169" t="str">
        <f t="shared" si="8"/>
        <v>K2124011124223</v>
      </c>
      <c r="C169" t="s">
        <v>399</v>
      </c>
      <c r="D169" t="s">
        <v>331</v>
      </c>
      <c r="E169">
        <v>112</v>
      </c>
      <c r="F169" t="s">
        <v>391</v>
      </c>
      <c r="G169" t="s">
        <v>392</v>
      </c>
      <c r="H169" t="s">
        <v>393</v>
      </c>
      <c r="I169" t="s">
        <v>30</v>
      </c>
      <c r="J169" t="s">
        <v>267</v>
      </c>
      <c r="K169" t="str">
        <f t="shared" si="7"/>
        <v/>
      </c>
      <c r="L169" t="s">
        <v>32</v>
      </c>
    </row>
    <row r="170" spans="2:12" x14ac:dyDescent="0.2">
      <c r="B170" t="str">
        <f t="shared" si="8"/>
        <v>A2124011123233</v>
      </c>
      <c r="C170" t="s">
        <v>399</v>
      </c>
      <c r="D170" t="s">
        <v>327</v>
      </c>
      <c r="E170">
        <v>112</v>
      </c>
      <c r="F170" t="s">
        <v>374</v>
      </c>
      <c r="G170" t="s">
        <v>379</v>
      </c>
      <c r="H170" t="s">
        <v>382</v>
      </c>
      <c r="I170" t="s">
        <v>91</v>
      </c>
      <c r="J170" t="s">
        <v>92</v>
      </c>
      <c r="K170" t="str">
        <f t="shared" si="7"/>
        <v/>
      </c>
      <c r="L170" t="s">
        <v>93</v>
      </c>
    </row>
    <row r="171" spans="2:12" x14ac:dyDescent="0.2">
      <c r="B171" t="str">
        <f t="shared" si="8"/>
        <v>K2124011123222</v>
      </c>
      <c r="C171" t="s">
        <v>399</v>
      </c>
      <c r="D171" t="s">
        <v>331</v>
      </c>
      <c r="E171">
        <v>112</v>
      </c>
      <c r="F171" t="s">
        <v>374</v>
      </c>
      <c r="G171" t="s">
        <v>379</v>
      </c>
      <c r="H171" t="s">
        <v>381</v>
      </c>
      <c r="I171" t="s">
        <v>75</v>
      </c>
      <c r="J171" t="s">
        <v>264</v>
      </c>
      <c r="K171" t="str">
        <f t="shared" si="7"/>
        <v/>
      </c>
      <c r="L171" t="s">
        <v>77</v>
      </c>
    </row>
    <row r="172" spans="2:12" x14ac:dyDescent="0.2">
      <c r="B172" t="str">
        <f t="shared" si="8"/>
        <v>K2124016114221</v>
      </c>
      <c r="C172" t="s">
        <v>399</v>
      </c>
      <c r="D172" t="s">
        <v>331</v>
      </c>
      <c r="E172">
        <v>611</v>
      </c>
      <c r="F172" t="s">
        <v>391</v>
      </c>
      <c r="G172" t="s">
        <v>392</v>
      </c>
      <c r="H172" t="s">
        <v>393</v>
      </c>
      <c r="I172" t="s">
        <v>27</v>
      </c>
      <c r="J172" t="s">
        <v>46</v>
      </c>
      <c r="K172" t="str">
        <f t="shared" si="7"/>
        <v/>
      </c>
      <c r="L172" t="s">
        <v>29</v>
      </c>
    </row>
    <row r="173" spans="2:12" x14ac:dyDescent="0.2">
      <c r="B173" t="str">
        <f t="shared" si="8"/>
        <v>K2124014314231</v>
      </c>
      <c r="C173" t="s">
        <v>399</v>
      </c>
      <c r="D173" t="s">
        <v>331</v>
      </c>
      <c r="E173">
        <v>431</v>
      </c>
      <c r="F173" t="s">
        <v>391</v>
      </c>
      <c r="G173" t="s">
        <v>392</v>
      </c>
      <c r="H173" t="s">
        <v>394</v>
      </c>
      <c r="I173" t="s">
        <v>14</v>
      </c>
      <c r="J173" t="s">
        <v>15</v>
      </c>
      <c r="K173" t="str">
        <f t="shared" si="7"/>
        <v/>
      </c>
      <c r="L173" t="s">
        <v>16</v>
      </c>
    </row>
    <row r="174" spans="2:12" x14ac:dyDescent="0.2">
      <c r="B174" t="str">
        <f t="shared" si="8"/>
        <v>A2124014313212</v>
      </c>
      <c r="C174" t="s">
        <v>399</v>
      </c>
      <c r="D174" t="s">
        <v>327</v>
      </c>
      <c r="E174">
        <v>431</v>
      </c>
      <c r="F174" t="s">
        <v>374</v>
      </c>
      <c r="G174" t="s">
        <v>379</v>
      </c>
      <c r="H174" t="s">
        <v>380</v>
      </c>
      <c r="I174">
        <v>3212</v>
      </c>
      <c r="K174" s="66" t="s">
        <v>400</v>
      </c>
      <c r="L174" t="s">
        <v>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6"/>
  <sheetViews>
    <sheetView showGridLines="0" topLeftCell="F1" zoomScale="90" zoomScaleNormal="90" workbookViewId="0">
      <pane ySplit="5" topLeftCell="A6" activePane="bottomLeft" state="frozen"/>
      <selection activeCell="F1" sqref="F1"/>
      <selection pane="bottomLeft" activeCell="Z12" sqref="Z12"/>
    </sheetView>
  </sheetViews>
  <sheetFormatPr defaultColWidth="8.7109375" defaultRowHeight="12.75" outlineLevelRow="1" outlineLevelCol="1" x14ac:dyDescent="0.2"/>
  <cols>
    <col min="1" max="1" width="9.28515625" style="26" hidden="1" customWidth="1" outlineLevel="1"/>
    <col min="2" max="2" width="3.7109375" style="30" hidden="1" customWidth="1" outlineLevel="1"/>
    <col min="3" max="3" width="8.7109375" style="30" hidden="1" customWidth="1" outlineLevel="1"/>
    <col min="4" max="4" width="10.28515625" style="30" hidden="1" customWidth="1" outlineLevel="1"/>
    <col min="5" max="5" width="12.5703125" style="26" hidden="1" customWidth="1" outlineLevel="1"/>
    <col min="6" max="6" width="10.5703125" style="25" customWidth="1" collapsed="1"/>
    <col min="7" max="7" width="13.5703125" style="25" hidden="1" customWidth="1" outlineLevel="1"/>
    <col min="8" max="8" width="35.5703125" style="25" customWidth="1" collapsed="1"/>
    <col min="9" max="9" width="13.7109375" style="25" customWidth="1"/>
    <col min="10" max="14" width="13.7109375" style="25" hidden="1" customWidth="1" outlineLevel="1"/>
    <col min="15" max="17" width="13.7109375" style="25" hidden="1" customWidth="1" outlineLevel="1" collapsed="1"/>
    <col min="18" max="19" width="13.7109375" style="25" hidden="1" customWidth="1" outlineLevel="1"/>
    <col min="20" max="20" width="13.7109375" style="25" customWidth="1" collapsed="1"/>
    <col min="21" max="25" width="13.7109375" style="25" customWidth="1"/>
    <col min="26" max="29" width="13.7109375" style="25" customWidth="1" outlineLevel="1"/>
    <col min="30" max="32" width="13.7109375" style="25" customWidth="1"/>
    <col min="33" max="16384" width="8.7109375" style="25"/>
  </cols>
  <sheetData>
    <row r="1" spans="1:30" ht="20.100000000000001" customHeight="1" x14ac:dyDescent="0.2">
      <c r="F1" s="217" t="s">
        <v>0</v>
      </c>
      <c r="G1" s="217"/>
      <c r="H1" s="217"/>
      <c r="I1" s="217"/>
    </row>
    <row r="2" spans="1:30" ht="20.100000000000001" customHeight="1" x14ac:dyDescent="0.2">
      <c r="F2" s="217" t="s">
        <v>1</v>
      </c>
      <c r="G2" s="217"/>
      <c r="H2" s="217"/>
      <c r="I2" s="217"/>
    </row>
    <row r="3" spans="1:30" ht="20.100000000000001" customHeight="1" x14ac:dyDescent="0.2">
      <c r="F3" s="217" t="s">
        <v>2</v>
      </c>
      <c r="G3" s="217"/>
      <c r="H3" s="217"/>
      <c r="I3" s="58"/>
      <c r="J3" s="32"/>
    </row>
    <row r="4" spans="1:30" ht="20.100000000000001" customHeight="1" thickBot="1" x14ac:dyDescent="0.25">
      <c r="S4" s="32"/>
      <c r="U4" s="32"/>
      <c r="X4" s="32"/>
    </row>
    <row r="5" spans="1:30" ht="50.1" customHeight="1" thickTop="1" thickBot="1" x14ac:dyDescent="0.25">
      <c r="F5" s="49" t="s">
        <v>3</v>
      </c>
      <c r="G5" s="49" t="s">
        <v>4</v>
      </c>
      <c r="H5" s="49" t="s">
        <v>5</v>
      </c>
      <c r="I5" s="50" t="s">
        <v>6</v>
      </c>
      <c r="J5" s="50" t="s">
        <v>7</v>
      </c>
      <c r="K5" s="50" t="s">
        <v>8</v>
      </c>
      <c r="L5" s="50" t="s">
        <v>9</v>
      </c>
      <c r="M5" s="50" t="s">
        <v>10</v>
      </c>
      <c r="N5" s="50" t="s">
        <v>11</v>
      </c>
      <c r="O5" s="50" t="s">
        <v>12</v>
      </c>
      <c r="P5" s="50" t="s">
        <v>13</v>
      </c>
      <c r="Q5" s="51" t="s">
        <v>332</v>
      </c>
      <c r="R5" s="51" t="s">
        <v>333</v>
      </c>
      <c r="S5" s="51" t="s">
        <v>334</v>
      </c>
      <c r="T5" s="51" t="s">
        <v>356</v>
      </c>
      <c r="U5" s="51" t="s">
        <v>335</v>
      </c>
      <c r="V5" s="51" t="s">
        <v>336</v>
      </c>
      <c r="W5" s="51"/>
      <c r="X5" s="51" t="s">
        <v>335</v>
      </c>
      <c r="Y5" s="51" t="s">
        <v>336</v>
      </c>
    </row>
    <row r="6" spans="1:30" ht="24.95" customHeight="1" thickTop="1" thickBot="1" x14ac:dyDescent="0.25">
      <c r="F6" s="41">
        <v>1</v>
      </c>
      <c r="G6" s="41"/>
      <c r="H6" s="41">
        <v>2</v>
      </c>
      <c r="I6" s="41">
        <v>2</v>
      </c>
      <c r="J6" s="41">
        <v>3</v>
      </c>
      <c r="K6" s="42" t="s">
        <v>337</v>
      </c>
      <c r="L6" s="41" t="s">
        <v>338</v>
      </c>
      <c r="M6" s="41" t="s">
        <v>339</v>
      </c>
      <c r="N6" s="41" t="s">
        <v>340</v>
      </c>
      <c r="O6" s="41" t="s">
        <v>341</v>
      </c>
      <c r="P6" s="41" t="s">
        <v>342</v>
      </c>
      <c r="Q6" s="41">
        <v>3</v>
      </c>
      <c r="R6" s="41" t="s">
        <v>343</v>
      </c>
      <c r="S6" s="41">
        <v>3</v>
      </c>
      <c r="T6" s="41">
        <v>3</v>
      </c>
      <c r="U6" s="41">
        <v>4</v>
      </c>
      <c r="V6" s="41">
        <v>5</v>
      </c>
      <c r="W6" s="41"/>
      <c r="X6" s="41">
        <v>4</v>
      </c>
      <c r="Y6" s="41">
        <v>5</v>
      </c>
    </row>
    <row r="7" spans="1:30" ht="20.100000000000001" customHeight="1" thickBot="1" x14ac:dyDescent="0.25">
      <c r="F7" s="220" t="s">
        <v>52</v>
      </c>
      <c r="G7" s="220"/>
      <c r="H7" s="220"/>
      <c r="I7" s="43">
        <f>I8</f>
        <v>23471400</v>
      </c>
      <c r="J7" s="43">
        <f t="shared" ref="J7:Y9" si="0">J8</f>
        <v>23013153.740000006</v>
      </c>
      <c r="K7" s="43">
        <f t="shared" si="0"/>
        <v>458246.25999999966</v>
      </c>
      <c r="L7" s="43">
        <f t="shared" si="0"/>
        <v>0</v>
      </c>
      <c r="M7" s="43">
        <f t="shared" si="0"/>
        <v>23013153.740000006</v>
      </c>
      <c r="N7" s="43">
        <f t="shared" si="0"/>
        <v>0</v>
      </c>
      <c r="O7" s="43">
        <f t="shared" si="0"/>
        <v>458346.25999999966</v>
      </c>
      <c r="P7" s="44">
        <v>0.98099999999999998</v>
      </c>
      <c r="Q7" s="43">
        <f t="shared" si="0"/>
        <v>23013153.740000006</v>
      </c>
      <c r="R7" s="43">
        <f t="shared" si="0"/>
        <v>-1258340.0699999998</v>
      </c>
      <c r="S7" s="43">
        <f t="shared" si="0"/>
        <v>21754813.670000009</v>
      </c>
      <c r="T7" s="43">
        <f t="shared" si="0"/>
        <v>23221917.380000003</v>
      </c>
      <c r="U7" s="43">
        <f t="shared" si="0"/>
        <v>23268572.130000003</v>
      </c>
      <c r="V7" s="43">
        <f t="shared" si="0"/>
        <v>-46654.749999999258</v>
      </c>
      <c r="W7" s="43"/>
      <c r="X7" s="43">
        <f t="shared" si="0"/>
        <v>23268572.130000003</v>
      </c>
      <c r="Y7" s="43">
        <f t="shared" si="0"/>
        <v>-46654.749999999258</v>
      </c>
      <c r="AD7" s="32"/>
    </row>
    <row r="8" spans="1:30" ht="20.100000000000001" customHeight="1" thickBot="1" x14ac:dyDescent="0.25">
      <c r="F8" s="220"/>
      <c r="G8" s="220"/>
      <c r="H8" s="220"/>
      <c r="I8" s="43">
        <f>I9</f>
        <v>23471400</v>
      </c>
      <c r="J8" s="43">
        <f t="shared" si="0"/>
        <v>23013153.740000006</v>
      </c>
      <c r="K8" s="43">
        <f t="shared" si="0"/>
        <v>458246.25999999966</v>
      </c>
      <c r="L8" s="43">
        <f t="shared" si="0"/>
        <v>0</v>
      </c>
      <c r="M8" s="43">
        <f t="shared" si="0"/>
        <v>23013153.740000006</v>
      </c>
      <c r="N8" s="43">
        <f t="shared" si="0"/>
        <v>0</v>
      </c>
      <c r="O8" s="43">
        <f t="shared" si="0"/>
        <v>458346.25999999966</v>
      </c>
      <c r="P8" s="44">
        <v>0.98099999999999998</v>
      </c>
      <c r="Q8" s="43">
        <f t="shared" si="0"/>
        <v>23013153.740000006</v>
      </c>
      <c r="R8" s="43">
        <f t="shared" si="0"/>
        <v>-1258340.0699999998</v>
      </c>
      <c r="S8" s="43">
        <f t="shared" si="0"/>
        <v>21754813.670000009</v>
      </c>
      <c r="T8" s="43">
        <f t="shared" si="0"/>
        <v>23221917.380000003</v>
      </c>
      <c r="U8" s="43">
        <f t="shared" si="0"/>
        <v>23268572.130000003</v>
      </c>
      <c r="V8" s="43">
        <f t="shared" si="0"/>
        <v>-46654.749999999258</v>
      </c>
      <c r="W8" s="43"/>
      <c r="X8" s="43">
        <f t="shared" si="0"/>
        <v>23268572.130000003</v>
      </c>
      <c r="Y8" s="43">
        <f t="shared" si="0"/>
        <v>-46654.749999999258</v>
      </c>
    </row>
    <row r="9" spans="1:30" ht="35.1" customHeight="1" thickBot="1" x14ac:dyDescent="0.25">
      <c r="F9" s="219" t="s">
        <v>54</v>
      </c>
      <c r="G9" s="219"/>
      <c r="H9" s="219"/>
      <c r="I9" s="45">
        <f>I10+I112+I164+I167+I171</f>
        <v>23471400</v>
      </c>
      <c r="J9" s="45">
        <f>J10+J112+J164+J167+J171</f>
        <v>23013153.740000006</v>
      </c>
      <c r="K9" s="45">
        <f>K10+K112+K164+K167+K171</f>
        <v>458246.25999999966</v>
      </c>
      <c r="L9" s="45">
        <f t="shared" si="0"/>
        <v>0</v>
      </c>
      <c r="M9" s="45">
        <f>M10+M112+M164+M167+M171</f>
        <v>23013153.740000006</v>
      </c>
      <c r="N9" s="45">
        <f t="shared" si="0"/>
        <v>0</v>
      </c>
      <c r="O9" s="45">
        <f>O10+O112+O164+O167+O171</f>
        <v>458346.25999999966</v>
      </c>
      <c r="P9" s="46">
        <v>0.98099999999999998</v>
      </c>
      <c r="Q9" s="45">
        <f t="shared" ref="Q9:Y9" si="1">Q10+Q112+Q164+Q167+Q171</f>
        <v>23013153.740000006</v>
      </c>
      <c r="R9" s="45">
        <f t="shared" si="1"/>
        <v>-1258340.0699999998</v>
      </c>
      <c r="S9" s="45">
        <f t="shared" si="1"/>
        <v>21754813.670000009</v>
      </c>
      <c r="T9" s="45">
        <f t="shared" si="1"/>
        <v>23221917.380000003</v>
      </c>
      <c r="U9" s="45">
        <f t="shared" si="1"/>
        <v>23268572.130000003</v>
      </c>
      <c r="V9" s="45">
        <f t="shared" si="1"/>
        <v>-46654.749999999258</v>
      </c>
      <c r="W9" s="45"/>
      <c r="X9" s="45">
        <f t="shared" si="1"/>
        <v>23268572.130000003</v>
      </c>
      <c r="Y9" s="45">
        <f t="shared" si="1"/>
        <v>-46654.749999999258</v>
      </c>
    </row>
    <row r="10" spans="1:30" ht="35.1" customHeight="1" x14ac:dyDescent="0.2">
      <c r="F10" s="218" t="s">
        <v>55</v>
      </c>
      <c r="G10" s="218"/>
      <c r="H10" s="218"/>
      <c r="I10" s="47">
        <f>I12+I38+I40+I67+I96+I102+I110</f>
        <v>20148300</v>
      </c>
      <c r="J10" s="47">
        <f t="shared" ref="J10:Q10" si="2">J12+J38+J40+J67+J96+J102+J110</f>
        <v>20984663.520000003</v>
      </c>
      <c r="K10" s="47">
        <f t="shared" si="2"/>
        <v>-836363.52000000025</v>
      </c>
      <c r="L10" s="47">
        <f t="shared" si="2"/>
        <v>0</v>
      </c>
      <c r="M10" s="47">
        <f t="shared" si="2"/>
        <v>20984663.520000003</v>
      </c>
      <c r="N10" s="47">
        <f t="shared" si="2"/>
        <v>0</v>
      </c>
      <c r="O10" s="47">
        <f t="shared" si="2"/>
        <v>-836363.52000000025</v>
      </c>
      <c r="P10" s="48">
        <v>1.042</v>
      </c>
      <c r="Q10" s="47">
        <f t="shared" si="2"/>
        <v>20984663.520000003</v>
      </c>
      <c r="R10" s="47">
        <f>R12+R38+R40+R67+R96+R102+R110</f>
        <v>-1455193.6199999999</v>
      </c>
      <c r="S10" s="47">
        <f>S12+S38+S40+S67+S96+S102+S110</f>
        <v>19529469.900000006</v>
      </c>
      <c r="T10" s="47">
        <f>T12+T38+T40+T67+T96+T102+T110</f>
        <v>20443595.930000003</v>
      </c>
      <c r="U10" s="47">
        <f>U12+U38+U40+U67+U96+U102+U110</f>
        <v>20487727.300000001</v>
      </c>
      <c r="V10" s="47">
        <f>V12+V38+V40+V67+V96+V102+V110</f>
        <v>-44131.369999999144</v>
      </c>
      <c r="W10" s="47"/>
      <c r="X10" s="47">
        <f>X12+X38+X40+X67+X96+X102+X110</f>
        <v>20487768.050000001</v>
      </c>
      <c r="Y10" s="47">
        <f>Y12+Y38+Y40+Y67+Y96+Y102+Y110</f>
        <v>-44172.119999999144</v>
      </c>
      <c r="Z10" s="32"/>
    </row>
    <row r="11" spans="1:30" ht="15" customHeight="1" x14ac:dyDescent="0.2">
      <c r="F11" s="221"/>
      <c r="G11" s="221"/>
      <c r="H11" s="221"/>
      <c r="I11" s="33"/>
      <c r="J11" s="33"/>
      <c r="K11" s="33"/>
      <c r="L11" s="33"/>
      <c r="M11" s="33"/>
      <c r="N11" s="33"/>
      <c r="O11" s="33"/>
      <c r="P11" s="34"/>
      <c r="Q11" s="33"/>
      <c r="R11" s="33"/>
      <c r="S11" s="33"/>
      <c r="T11" s="33"/>
      <c r="U11" s="33"/>
      <c r="V11" s="33"/>
      <c r="W11" s="33"/>
      <c r="X11" s="33"/>
      <c r="Y11" s="33"/>
    </row>
    <row r="12" spans="1:30" ht="20.100000000000001" customHeight="1" x14ac:dyDescent="0.2">
      <c r="F12" s="216" t="s">
        <v>56</v>
      </c>
      <c r="G12" s="216"/>
      <c r="H12" s="216"/>
      <c r="I12" s="52">
        <f>SUMIFS(I14:I184,$A14:$A184,"A212401",$B14:$B184,"112")</f>
        <v>18447700</v>
      </c>
      <c r="J12" s="52">
        <f>SUMIFS(J14:J184,$A14:$A184,"A212401",$B14:$B184,"112")</f>
        <v>20201443.609999999</v>
      </c>
      <c r="K12" s="52">
        <f>SUMIFS(K14:K184,$A14:$A184,"A212401",$B14:$B184,"112")</f>
        <v>-1753743.61</v>
      </c>
      <c r="L12" s="52">
        <f>SUMIFS(L14:L184,$A14:$A184,"A212401",$B14:$B184,"112")</f>
        <v>0</v>
      </c>
      <c r="M12" s="52">
        <v>20201443.609999999</v>
      </c>
      <c r="N12" s="52">
        <f>SUMIFS(N14:N184,$A14:$A184,"A212401",$B14:$B184,"112")</f>
        <v>0</v>
      </c>
      <c r="O12" s="52">
        <f>SUMIFS(O14:O184,$A14:$A184,"A212401",$B14:$B184,"112")</f>
        <v>-1753743.61</v>
      </c>
      <c r="P12" s="53">
        <v>1.095</v>
      </c>
      <c r="Q12" s="52">
        <f t="shared" ref="Q12:Y12" si="3">SUMIFS(Q14:Q184,$A14:$A184,"A212401",$B14:$B184,"112")</f>
        <v>20201443.609999999</v>
      </c>
      <c r="R12" s="52">
        <f t="shared" si="3"/>
        <v>-1455193.6199999999</v>
      </c>
      <c r="S12" s="52">
        <f t="shared" si="3"/>
        <v>18746249.990000002</v>
      </c>
      <c r="T12" s="52">
        <f t="shared" si="3"/>
        <v>18746249.990000002</v>
      </c>
      <c r="U12" s="52">
        <f t="shared" si="3"/>
        <v>18790381.359999999</v>
      </c>
      <c r="V12" s="52">
        <f t="shared" si="3"/>
        <v>-44131.369999999144</v>
      </c>
      <c r="W12" s="52"/>
      <c r="X12" s="52">
        <f t="shared" si="3"/>
        <v>18790422.109999999</v>
      </c>
      <c r="Y12" s="52">
        <f t="shared" si="3"/>
        <v>-44172.119999999144</v>
      </c>
    </row>
    <row r="13" spans="1:30" ht="20.100000000000001" customHeight="1" outlineLevel="1" x14ac:dyDescent="0.2">
      <c r="A13" s="26" t="s">
        <v>327</v>
      </c>
      <c r="B13" s="30">
        <v>112</v>
      </c>
      <c r="C13" s="30" t="str">
        <f>LEFT(F13,1)</f>
        <v/>
      </c>
      <c r="D13" s="30" t="str">
        <f>LEFT(F13,2)</f>
        <v/>
      </c>
      <c r="E13" s="26" t="str">
        <f>LEFT(F13,3)</f>
        <v/>
      </c>
      <c r="F13" s="26"/>
      <c r="G13" s="26"/>
      <c r="H13" s="26"/>
      <c r="I13" s="27"/>
      <c r="J13" s="27"/>
      <c r="K13" s="27"/>
      <c r="L13" s="27"/>
      <c r="M13" s="27"/>
      <c r="N13" s="27"/>
      <c r="O13" s="27"/>
      <c r="P13" s="28"/>
      <c r="Q13" s="27"/>
      <c r="R13" s="27"/>
      <c r="S13" s="27"/>
      <c r="T13" s="27"/>
      <c r="U13" s="27"/>
      <c r="V13" s="27"/>
      <c r="W13" s="27"/>
      <c r="X13" s="27"/>
      <c r="Y13" s="27"/>
    </row>
    <row r="14" spans="1:30" ht="20.100000000000001" customHeight="1" outlineLevel="1" x14ac:dyDescent="0.2">
      <c r="A14" s="26" t="s">
        <v>327</v>
      </c>
      <c r="B14" s="30">
        <v>112</v>
      </c>
      <c r="C14" s="30" t="str">
        <f t="shared" ref="C14:C37" si="4">LEFT(F14,1)</f>
        <v>3</v>
      </c>
      <c r="D14" s="30" t="str">
        <f t="shared" ref="D14:D37" si="5">LEFT(F14,2)</f>
        <v>31</v>
      </c>
      <c r="E14" s="26" t="str">
        <f t="shared" ref="E14:E37" si="6">LEFT(F14,3)</f>
        <v>311</v>
      </c>
      <c r="F14" s="26" t="s">
        <v>57</v>
      </c>
      <c r="G14" s="26" t="s">
        <v>58</v>
      </c>
      <c r="H14" s="26" t="s">
        <v>59</v>
      </c>
      <c r="I14" s="27">
        <v>13944200</v>
      </c>
      <c r="J14" s="27">
        <v>15150822.08</v>
      </c>
      <c r="K14" s="27">
        <v>-1206622.08</v>
      </c>
      <c r="L14" s="27">
        <v>0</v>
      </c>
      <c r="M14" s="27">
        <v>15150822.08</v>
      </c>
      <c r="N14" s="27">
        <v>0</v>
      </c>
      <c r="O14" s="27">
        <v>-1206622.08</v>
      </c>
      <c r="P14" s="28">
        <v>1.087</v>
      </c>
      <c r="Q14" s="27">
        <f>J14</f>
        <v>15150822.08</v>
      </c>
      <c r="R14" s="27">
        <v>-1179731.77</v>
      </c>
      <c r="S14" s="27">
        <f t="shared" ref="S14:S37" si="7">R14+Q14</f>
        <v>13971090.310000001</v>
      </c>
      <c r="T14" s="27">
        <f>S14</f>
        <v>13971090.310000001</v>
      </c>
      <c r="U14" s="27">
        <v>13962614.67</v>
      </c>
      <c r="V14" s="27">
        <f>T14-U14</f>
        <v>8475.640000000596</v>
      </c>
      <c r="W14" s="27"/>
      <c r="X14" s="27">
        <f>U14+W14</f>
        <v>13962614.67</v>
      </c>
      <c r="Y14" s="27">
        <f>T14-X14</f>
        <v>8475.640000000596</v>
      </c>
    </row>
    <row r="15" spans="1:30" ht="20.100000000000001" customHeight="1" outlineLevel="1" x14ac:dyDescent="0.2">
      <c r="A15" s="26" t="s">
        <v>327</v>
      </c>
      <c r="B15" s="30">
        <v>112</v>
      </c>
      <c r="C15" s="30" t="str">
        <f t="shared" si="4"/>
        <v>3</v>
      </c>
      <c r="D15" s="30" t="str">
        <f t="shared" si="5"/>
        <v>31</v>
      </c>
      <c r="E15" s="26" t="str">
        <f t="shared" si="6"/>
        <v>312</v>
      </c>
      <c r="F15" s="26" t="s">
        <v>60</v>
      </c>
      <c r="G15" s="26" t="s">
        <v>61</v>
      </c>
      <c r="H15" s="26" t="s">
        <v>62</v>
      </c>
      <c r="I15" s="27">
        <v>899400</v>
      </c>
      <c r="J15" s="27">
        <v>1344751.27</v>
      </c>
      <c r="K15" s="27">
        <v>-445351.27</v>
      </c>
      <c r="L15" s="27">
        <v>0</v>
      </c>
      <c r="M15" s="27">
        <v>1344751.27</v>
      </c>
      <c r="N15" s="27">
        <v>0</v>
      </c>
      <c r="O15" s="27">
        <v>-445351.27</v>
      </c>
      <c r="P15" s="28">
        <v>1.4950000000000001</v>
      </c>
      <c r="Q15" s="27">
        <f t="shared" ref="Q15:Q37" si="8">J15</f>
        <v>1344751.27</v>
      </c>
      <c r="R15" s="27">
        <v>-85169.88</v>
      </c>
      <c r="S15" s="27">
        <f t="shared" si="7"/>
        <v>1259581.3900000001</v>
      </c>
      <c r="T15" s="27">
        <f t="shared" ref="T15:T37" si="9">S15</f>
        <v>1259581.3900000001</v>
      </c>
      <c r="U15" s="27">
        <v>1282770.57</v>
      </c>
      <c r="V15" s="27">
        <f t="shared" ref="V15:V78" si="10">T15-U15</f>
        <v>-23189.179999999935</v>
      </c>
      <c r="W15" s="27"/>
      <c r="X15" s="27">
        <f t="shared" ref="X15:X37" si="11">U15+W15</f>
        <v>1282770.57</v>
      </c>
      <c r="Y15" s="27">
        <f t="shared" ref="Y15:Y37" si="12">T15-X15</f>
        <v>-23189.179999999935</v>
      </c>
    </row>
    <row r="16" spans="1:30" ht="20.100000000000001" customHeight="1" outlineLevel="1" x14ac:dyDescent="0.2">
      <c r="A16" s="26" t="s">
        <v>327</v>
      </c>
      <c r="B16" s="30">
        <v>112</v>
      </c>
      <c r="C16" s="30" t="str">
        <f t="shared" si="4"/>
        <v>3</v>
      </c>
      <c r="D16" s="30" t="str">
        <f t="shared" si="5"/>
        <v>31</v>
      </c>
      <c r="E16" s="26" t="str">
        <f t="shared" si="6"/>
        <v>313</v>
      </c>
      <c r="F16" s="26" t="s">
        <v>63</v>
      </c>
      <c r="G16" s="26" t="s">
        <v>64</v>
      </c>
      <c r="H16" s="26" t="s">
        <v>65</v>
      </c>
      <c r="I16" s="27">
        <v>2231900</v>
      </c>
      <c r="J16" s="27">
        <v>2425088.31</v>
      </c>
      <c r="K16" s="27">
        <v>-193188.31</v>
      </c>
      <c r="L16" s="27">
        <v>0</v>
      </c>
      <c r="M16" s="27">
        <v>2425088.31</v>
      </c>
      <c r="N16" s="27">
        <v>0</v>
      </c>
      <c r="O16" s="27">
        <v>-193188.31</v>
      </c>
      <c r="P16" s="28">
        <v>1.087</v>
      </c>
      <c r="Q16" s="27">
        <f t="shared" si="8"/>
        <v>2425088.31</v>
      </c>
      <c r="R16" s="27">
        <v>-188401.59</v>
      </c>
      <c r="S16" s="27">
        <f t="shared" si="7"/>
        <v>2236686.7200000002</v>
      </c>
      <c r="T16" s="27">
        <f t="shared" si="9"/>
        <v>2236686.7200000002</v>
      </c>
      <c r="U16" s="27">
        <v>2240298.54</v>
      </c>
      <c r="V16" s="27">
        <f t="shared" si="10"/>
        <v>-3611.8199999998324</v>
      </c>
      <c r="W16" s="27"/>
      <c r="X16" s="27">
        <f t="shared" si="11"/>
        <v>2240298.54</v>
      </c>
      <c r="Y16" s="27">
        <f t="shared" si="12"/>
        <v>-3611.8199999998324</v>
      </c>
    </row>
    <row r="17" spans="1:25" ht="20.100000000000001" customHeight="1" outlineLevel="1" x14ac:dyDescent="0.2">
      <c r="A17" s="26" t="s">
        <v>327</v>
      </c>
      <c r="B17" s="30">
        <v>112</v>
      </c>
      <c r="C17" s="30" t="str">
        <f t="shared" si="4"/>
        <v>3</v>
      </c>
      <c r="D17" s="30" t="str">
        <f t="shared" si="5"/>
        <v>32</v>
      </c>
      <c r="E17" s="26" t="str">
        <f t="shared" si="6"/>
        <v>321</v>
      </c>
      <c r="F17" s="26" t="s">
        <v>66</v>
      </c>
      <c r="G17" s="26" t="s">
        <v>67</v>
      </c>
      <c r="H17" s="26" t="s">
        <v>68</v>
      </c>
      <c r="I17" s="27">
        <v>321000</v>
      </c>
      <c r="J17" s="27">
        <v>301355.68</v>
      </c>
      <c r="K17" s="27">
        <v>19644.32</v>
      </c>
      <c r="L17" s="27">
        <v>0</v>
      </c>
      <c r="M17" s="27">
        <v>301355.68</v>
      </c>
      <c r="N17" s="27">
        <v>0</v>
      </c>
      <c r="O17" s="27">
        <v>19644.32</v>
      </c>
      <c r="P17" s="28">
        <v>0.93899999999999995</v>
      </c>
      <c r="Q17" s="27">
        <f t="shared" si="8"/>
        <v>301355.68</v>
      </c>
      <c r="R17" s="27">
        <v>-3372.23</v>
      </c>
      <c r="S17" s="27">
        <f t="shared" si="7"/>
        <v>297983.45</v>
      </c>
      <c r="T17" s="27">
        <f t="shared" si="9"/>
        <v>297983.45</v>
      </c>
      <c r="U17" s="27">
        <v>311375.78999999998</v>
      </c>
      <c r="V17" s="27">
        <f t="shared" si="10"/>
        <v>-13392.339999999967</v>
      </c>
      <c r="W17" s="27"/>
      <c r="X17" s="27">
        <f t="shared" si="11"/>
        <v>311375.78999999998</v>
      </c>
      <c r="Y17" s="27">
        <f t="shared" si="12"/>
        <v>-13392.339999999967</v>
      </c>
    </row>
    <row r="18" spans="1:25" ht="20.100000000000001" customHeight="1" outlineLevel="1" x14ac:dyDescent="0.2">
      <c r="A18" s="26" t="s">
        <v>327</v>
      </c>
      <c r="B18" s="30">
        <v>112</v>
      </c>
      <c r="C18" s="30" t="str">
        <f t="shared" si="4"/>
        <v>3</v>
      </c>
      <c r="D18" s="30" t="str">
        <f t="shared" si="5"/>
        <v>32</v>
      </c>
      <c r="E18" s="26" t="str">
        <f t="shared" si="6"/>
        <v>321</v>
      </c>
      <c r="F18" s="26" t="s">
        <v>69</v>
      </c>
      <c r="G18" s="26" t="s">
        <v>70</v>
      </c>
      <c r="H18" s="26" t="s">
        <v>71</v>
      </c>
      <c r="I18" s="27">
        <v>25000</v>
      </c>
      <c r="J18" s="27">
        <v>26755.89</v>
      </c>
      <c r="K18" s="27">
        <v>-1755.89</v>
      </c>
      <c r="L18" s="27">
        <v>0</v>
      </c>
      <c r="M18" s="27">
        <v>26755.89</v>
      </c>
      <c r="N18" s="27">
        <v>0</v>
      </c>
      <c r="O18" s="27">
        <v>-1755.89</v>
      </c>
      <c r="P18" s="28">
        <v>1.07</v>
      </c>
      <c r="Q18" s="27">
        <f t="shared" si="8"/>
        <v>26755.89</v>
      </c>
      <c r="R18" s="27">
        <v>870.32</v>
      </c>
      <c r="S18" s="27">
        <f t="shared" si="7"/>
        <v>27626.21</v>
      </c>
      <c r="T18" s="27">
        <f t="shared" si="9"/>
        <v>27626.21</v>
      </c>
      <c r="U18" s="27">
        <v>26755.89</v>
      </c>
      <c r="V18" s="27">
        <f t="shared" si="10"/>
        <v>870.31999999999971</v>
      </c>
      <c r="W18" s="27"/>
      <c r="X18" s="27">
        <f t="shared" si="11"/>
        <v>26755.89</v>
      </c>
      <c r="Y18" s="27">
        <f t="shared" si="12"/>
        <v>870.31999999999971</v>
      </c>
    </row>
    <row r="19" spans="1:25" ht="20.100000000000001" customHeight="1" outlineLevel="1" x14ac:dyDescent="0.2">
      <c r="A19" s="26" t="s">
        <v>327</v>
      </c>
      <c r="B19" s="30">
        <v>112</v>
      </c>
      <c r="C19" s="30" t="str">
        <f t="shared" si="4"/>
        <v>3</v>
      </c>
      <c r="D19" s="30" t="str">
        <f t="shared" si="5"/>
        <v>32</v>
      </c>
      <c r="E19" s="26" t="str">
        <f t="shared" si="6"/>
        <v>322</v>
      </c>
      <c r="F19" s="26" t="s">
        <v>72</v>
      </c>
      <c r="G19" s="26" t="s">
        <v>73</v>
      </c>
      <c r="H19" s="26" t="s">
        <v>74</v>
      </c>
      <c r="I19" s="27">
        <v>4500</v>
      </c>
      <c r="J19" s="27">
        <v>4545</v>
      </c>
      <c r="K19" s="27">
        <v>-45</v>
      </c>
      <c r="L19" s="27">
        <v>0</v>
      </c>
      <c r="M19" s="27">
        <v>4545</v>
      </c>
      <c r="N19" s="27">
        <v>0</v>
      </c>
      <c r="O19" s="27">
        <v>-45</v>
      </c>
      <c r="P19" s="28">
        <v>1.01</v>
      </c>
      <c r="Q19" s="27">
        <f t="shared" si="8"/>
        <v>4545</v>
      </c>
      <c r="R19" s="27">
        <v>40.75</v>
      </c>
      <c r="S19" s="27">
        <f t="shared" si="7"/>
        <v>4585.75</v>
      </c>
      <c r="T19" s="27">
        <f t="shared" si="9"/>
        <v>4585.75</v>
      </c>
      <c r="U19" s="27">
        <v>4545</v>
      </c>
      <c r="V19" s="27">
        <f t="shared" si="10"/>
        <v>40.75</v>
      </c>
      <c r="W19" s="27">
        <v>40.75</v>
      </c>
      <c r="X19" s="27">
        <f t="shared" si="11"/>
        <v>4585.75</v>
      </c>
      <c r="Y19" s="27">
        <f t="shared" si="12"/>
        <v>0</v>
      </c>
    </row>
    <row r="20" spans="1:25" ht="20.100000000000001" customHeight="1" outlineLevel="1" x14ac:dyDescent="0.2">
      <c r="A20" s="26" t="s">
        <v>327</v>
      </c>
      <c r="B20" s="30">
        <v>112</v>
      </c>
      <c r="C20" s="30" t="str">
        <f t="shared" si="4"/>
        <v>3</v>
      </c>
      <c r="D20" s="30" t="str">
        <f t="shared" si="5"/>
        <v>32</v>
      </c>
      <c r="E20" s="26" t="str">
        <f t="shared" si="6"/>
        <v>322</v>
      </c>
      <c r="F20" s="26" t="s">
        <v>75</v>
      </c>
      <c r="G20" s="26" t="s">
        <v>76</v>
      </c>
      <c r="H20" s="26" t="s">
        <v>77</v>
      </c>
      <c r="I20" s="27">
        <v>43400</v>
      </c>
      <c r="J20" s="27">
        <v>7878.08</v>
      </c>
      <c r="K20" s="27">
        <v>35521.919999999998</v>
      </c>
      <c r="L20" s="27">
        <v>0</v>
      </c>
      <c r="M20" s="27">
        <v>7878.08</v>
      </c>
      <c r="N20" s="27">
        <v>0</v>
      </c>
      <c r="O20" s="27">
        <v>35521.919999999998</v>
      </c>
      <c r="P20" s="28">
        <v>0.182</v>
      </c>
      <c r="Q20" s="27">
        <f t="shared" si="8"/>
        <v>7878.08</v>
      </c>
      <c r="R20" s="27"/>
      <c r="S20" s="27">
        <f t="shared" si="7"/>
        <v>7878.08</v>
      </c>
      <c r="T20" s="27">
        <f t="shared" si="9"/>
        <v>7878.08</v>
      </c>
      <c r="U20" s="27">
        <v>7878.08</v>
      </c>
      <c r="V20" s="27">
        <f t="shared" si="10"/>
        <v>0</v>
      </c>
      <c r="W20" s="27"/>
      <c r="X20" s="27">
        <f t="shared" si="11"/>
        <v>7878.08</v>
      </c>
      <c r="Y20" s="27">
        <f t="shared" si="12"/>
        <v>0</v>
      </c>
    </row>
    <row r="21" spans="1:25" ht="20.100000000000001" customHeight="1" outlineLevel="1" x14ac:dyDescent="0.2">
      <c r="A21" s="26" t="s">
        <v>327</v>
      </c>
      <c r="B21" s="30">
        <v>112</v>
      </c>
      <c r="C21" s="30" t="str">
        <f t="shared" si="4"/>
        <v>3</v>
      </c>
      <c r="D21" s="30" t="str">
        <f t="shared" si="5"/>
        <v>32</v>
      </c>
      <c r="E21" s="26" t="str">
        <f t="shared" si="6"/>
        <v>322</v>
      </c>
      <c r="F21" s="26" t="s">
        <v>78</v>
      </c>
      <c r="G21" s="26" t="s">
        <v>79</v>
      </c>
      <c r="H21" s="26" t="s">
        <v>80</v>
      </c>
      <c r="I21" s="27">
        <v>446900</v>
      </c>
      <c r="J21" s="27">
        <v>407791.85</v>
      </c>
      <c r="K21" s="27">
        <v>39108.15</v>
      </c>
      <c r="L21" s="27">
        <v>0</v>
      </c>
      <c r="M21" s="27">
        <v>407791.85</v>
      </c>
      <c r="N21" s="27">
        <v>0</v>
      </c>
      <c r="O21" s="27">
        <v>39108.15</v>
      </c>
      <c r="P21" s="28">
        <v>0.91300000000000003</v>
      </c>
      <c r="Q21" s="27">
        <f t="shared" si="8"/>
        <v>407791.85</v>
      </c>
      <c r="R21" s="27"/>
      <c r="S21" s="27">
        <f t="shared" si="7"/>
        <v>407791.85</v>
      </c>
      <c r="T21" s="27">
        <f t="shared" si="9"/>
        <v>407791.85</v>
      </c>
      <c r="U21" s="27">
        <v>407807.11</v>
      </c>
      <c r="V21" s="27">
        <f t="shared" si="10"/>
        <v>-15.260000000009313</v>
      </c>
      <c r="W21" s="27"/>
      <c r="X21" s="27">
        <f t="shared" si="11"/>
        <v>407807.11</v>
      </c>
      <c r="Y21" s="27">
        <f t="shared" si="12"/>
        <v>-15.260000000009313</v>
      </c>
    </row>
    <row r="22" spans="1:25" ht="20.100000000000001" customHeight="1" outlineLevel="1" x14ac:dyDescent="0.2">
      <c r="A22" s="26" t="s">
        <v>327</v>
      </c>
      <c r="B22" s="30">
        <v>112</v>
      </c>
      <c r="C22" s="30" t="str">
        <f t="shared" si="4"/>
        <v>3</v>
      </c>
      <c r="D22" s="30" t="str">
        <f t="shared" si="5"/>
        <v>32</v>
      </c>
      <c r="E22" s="26" t="str">
        <f t="shared" si="6"/>
        <v>322</v>
      </c>
      <c r="F22" s="26" t="s">
        <v>81</v>
      </c>
      <c r="G22" s="26" t="s">
        <v>82</v>
      </c>
      <c r="H22" s="26" t="s">
        <v>83</v>
      </c>
      <c r="I22" s="27">
        <v>5000</v>
      </c>
      <c r="J22" s="27">
        <v>4030.8</v>
      </c>
      <c r="K22" s="27">
        <v>969.2</v>
      </c>
      <c r="L22" s="27">
        <v>0</v>
      </c>
      <c r="M22" s="27">
        <v>4030.8</v>
      </c>
      <c r="N22" s="27">
        <v>0</v>
      </c>
      <c r="O22" s="27">
        <v>969.2</v>
      </c>
      <c r="P22" s="28">
        <v>0.80600000000000005</v>
      </c>
      <c r="Q22" s="27">
        <f t="shared" si="8"/>
        <v>4030.8</v>
      </c>
      <c r="R22" s="27"/>
      <c r="S22" s="27">
        <f t="shared" si="7"/>
        <v>4030.8</v>
      </c>
      <c r="T22" s="27">
        <f t="shared" si="9"/>
        <v>4030.8</v>
      </c>
      <c r="U22" s="27">
        <v>5000</v>
      </c>
      <c r="V22" s="27">
        <f t="shared" si="10"/>
        <v>-969.19999999999982</v>
      </c>
      <c r="W22" s="27"/>
      <c r="X22" s="27">
        <f t="shared" si="11"/>
        <v>5000</v>
      </c>
      <c r="Y22" s="27">
        <f t="shared" si="12"/>
        <v>-969.19999999999982</v>
      </c>
    </row>
    <row r="23" spans="1:25" ht="20.100000000000001" customHeight="1" outlineLevel="1" x14ac:dyDescent="0.2">
      <c r="A23" s="26" t="s">
        <v>327</v>
      </c>
      <c r="B23" s="30">
        <v>112</v>
      </c>
      <c r="C23" s="30" t="str">
        <f t="shared" si="4"/>
        <v>3</v>
      </c>
      <c r="D23" s="30" t="str">
        <f t="shared" si="5"/>
        <v>32</v>
      </c>
      <c r="E23" s="26" t="str">
        <f t="shared" si="6"/>
        <v>322</v>
      </c>
      <c r="F23" s="26" t="s">
        <v>84</v>
      </c>
      <c r="G23" s="26" t="s">
        <v>85</v>
      </c>
      <c r="H23" s="26" t="s">
        <v>86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8">
        <v>0</v>
      </c>
      <c r="Q23" s="27">
        <f t="shared" si="8"/>
        <v>0</v>
      </c>
      <c r="R23" s="27"/>
      <c r="S23" s="27">
        <f t="shared" si="7"/>
        <v>0</v>
      </c>
      <c r="T23" s="27">
        <f t="shared" si="9"/>
        <v>0</v>
      </c>
      <c r="U23" s="27"/>
      <c r="V23" s="27">
        <f t="shared" si="10"/>
        <v>0</v>
      </c>
      <c r="W23" s="27"/>
      <c r="X23" s="27">
        <f t="shared" si="11"/>
        <v>0</v>
      </c>
      <c r="Y23" s="27">
        <f t="shared" si="12"/>
        <v>0</v>
      </c>
    </row>
    <row r="24" spans="1:25" ht="20.100000000000001" customHeight="1" outlineLevel="1" x14ac:dyDescent="0.2">
      <c r="A24" s="26" t="s">
        <v>327</v>
      </c>
      <c r="B24" s="30">
        <v>112</v>
      </c>
      <c r="C24" s="30" t="str">
        <f t="shared" si="4"/>
        <v>3</v>
      </c>
      <c r="D24" s="30" t="str">
        <f t="shared" si="5"/>
        <v>32</v>
      </c>
      <c r="E24" s="26" t="str">
        <f t="shared" si="6"/>
        <v>323</v>
      </c>
      <c r="F24" s="26" t="s">
        <v>87</v>
      </c>
      <c r="G24" s="26" t="s">
        <v>88</v>
      </c>
      <c r="H24" s="26" t="s">
        <v>89</v>
      </c>
      <c r="I24" s="27">
        <v>4000</v>
      </c>
      <c r="J24" s="27">
        <v>4000</v>
      </c>
      <c r="K24" s="27">
        <v>0</v>
      </c>
      <c r="L24" s="27">
        <v>0</v>
      </c>
      <c r="M24" s="27">
        <v>4000</v>
      </c>
      <c r="N24" s="27">
        <v>0</v>
      </c>
      <c r="O24" s="27">
        <v>0</v>
      </c>
      <c r="P24" s="28">
        <v>1</v>
      </c>
      <c r="Q24" s="27">
        <f t="shared" si="8"/>
        <v>4000</v>
      </c>
      <c r="R24" s="27"/>
      <c r="S24" s="27">
        <f t="shared" si="7"/>
        <v>4000</v>
      </c>
      <c r="T24" s="27">
        <f t="shared" si="9"/>
        <v>4000</v>
      </c>
      <c r="U24" s="27">
        <v>4000</v>
      </c>
      <c r="V24" s="27">
        <f t="shared" si="10"/>
        <v>0</v>
      </c>
      <c r="W24" s="27"/>
      <c r="X24" s="27">
        <f t="shared" si="11"/>
        <v>4000</v>
      </c>
      <c r="Y24" s="27">
        <f t="shared" si="12"/>
        <v>0</v>
      </c>
    </row>
    <row r="25" spans="1:25" ht="20.100000000000001" customHeight="1" outlineLevel="1" x14ac:dyDescent="0.2">
      <c r="A25" s="26" t="s">
        <v>327</v>
      </c>
      <c r="B25" s="30">
        <v>112</v>
      </c>
      <c r="C25" s="30" t="str">
        <f t="shared" si="4"/>
        <v>3</v>
      </c>
      <c r="D25" s="30" t="str">
        <f t="shared" si="5"/>
        <v>32</v>
      </c>
      <c r="E25" s="26" t="str">
        <f t="shared" si="6"/>
        <v>323</v>
      </c>
      <c r="F25" s="26" t="s">
        <v>38</v>
      </c>
      <c r="G25" s="26" t="s">
        <v>90</v>
      </c>
      <c r="H25" s="26" t="s">
        <v>40</v>
      </c>
      <c r="I25" s="27">
        <v>10000</v>
      </c>
      <c r="J25" s="27">
        <v>10292.129999999999</v>
      </c>
      <c r="K25" s="27">
        <v>-292.13</v>
      </c>
      <c r="L25" s="27">
        <v>0</v>
      </c>
      <c r="M25" s="27">
        <v>10292.129999999999</v>
      </c>
      <c r="N25" s="27">
        <v>0</v>
      </c>
      <c r="O25" s="27">
        <v>-292.13</v>
      </c>
      <c r="P25" s="28">
        <v>1.0289999999999999</v>
      </c>
      <c r="Q25" s="27">
        <f t="shared" si="8"/>
        <v>10292.129999999999</v>
      </c>
      <c r="R25" s="27"/>
      <c r="S25" s="27">
        <f t="shared" si="7"/>
        <v>10292.129999999999</v>
      </c>
      <c r="T25" s="27">
        <f t="shared" si="9"/>
        <v>10292.129999999999</v>
      </c>
      <c r="U25" s="27">
        <v>10292.129999999999</v>
      </c>
      <c r="V25" s="27">
        <f t="shared" si="10"/>
        <v>0</v>
      </c>
      <c r="W25" s="27"/>
      <c r="X25" s="27">
        <f t="shared" si="11"/>
        <v>10292.129999999999</v>
      </c>
      <c r="Y25" s="27">
        <f t="shared" si="12"/>
        <v>0</v>
      </c>
    </row>
    <row r="26" spans="1:25" ht="20.100000000000001" customHeight="1" outlineLevel="1" x14ac:dyDescent="0.2">
      <c r="A26" s="26" t="s">
        <v>327</v>
      </c>
      <c r="B26" s="30">
        <v>112</v>
      </c>
      <c r="C26" s="30" t="str">
        <f t="shared" si="4"/>
        <v>3</v>
      </c>
      <c r="D26" s="30" t="str">
        <f t="shared" si="5"/>
        <v>32</v>
      </c>
      <c r="E26" s="26" t="str">
        <f t="shared" si="6"/>
        <v>323</v>
      </c>
      <c r="F26" s="26" t="s">
        <v>91</v>
      </c>
      <c r="G26" s="26" t="s">
        <v>92</v>
      </c>
      <c r="H26" s="26" t="s">
        <v>93</v>
      </c>
      <c r="I26" s="27">
        <v>30000</v>
      </c>
      <c r="J26" s="27">
        <v>25094.49</v>
      </c>
      <c r="K26" s="27">
        <v>4905.51</v>
      </c>
      <c r="L26" s="27">
        <v>0</v>
      </c>
      <c r="M26" s="27">
        <v>25094.49</v>
      </c>
      <c r="N26" s="27">
        <v>0</v>
      </c>
      <c r="O26" s="27">
        <v>4905.51</v>
      </c>
      <c r="P26" s="28">
        <v>0.83699999999999997</v>
      </c>
      <c r="Q26" s="27">
        <f t="shared" si="8"/>
        <v>25094.49</v>
      </c>
      <c r="R26" s="27"/>
      <c r="S26" s="27">
        <f t="shared" si="7"/>
        <v>25094.49</v>
      </c>
      <c r="T26" s="27">
        <f t="shared" si="9"/>
        <v>25094.49</v>
      </c>
      <c r="U26" s="27">
        <v>25094.49</v>
      </c>
      <c r="V26" s="27">
        <f t="shared" si="10"/>
        <v>0</v>
      </c>
      <c r="W26" s="27"/>
      <c r="X26" s="27">
        <f t="shared" si="11"/>
        <v>25094.49</v>
      </c>
      <c r="Y26" s="27">
        <f t="shared" si="12"/>
        <v>0</v>
      </c>
    </row>
    <row r="27" spans="1:25" ht="20.100000000000001" customHeight="1" outlineLevel="1" x14ac:dyDescent="0.2">
      <c r="A27" s="26" t="s">
        <v>327</v>
      </c>
      <c r="B27" s="30">
        <v>112</v>
      </c>
      <c r="C27" s="30" t="str">
        <f t="shared" si="4"/>
        <v>3</v>
      </c>
      <c r="D27" s="30" t="str">
        <f t="shared" si="5"/>
        <v>32</v>
      </c>
      <c r="E27" s="26" t="str">
        <f t="shared" si="6"/>
        <v>323</v>
      </c>
      <c r="F27" s="26" t="s">
        <v>94</v>
      </c>
      <c r="G27" s="26" t="s">
        <v>95</v>
      </c>
      <c r="H27" s="26" t="s">
        <v>96</v>
      </c>
      <c r="I27" s="27">
        <v>134300</v>
      </c>
      <c r="J27" s="27">
        <v>141678.94</v>
      </c>
      <c r="K27" s="27">
        <v>-7378.94</v>
      </c>
      <c r="L27" s="27">
        <v>0</v>
      </c>
      <c r="M27" s="27">
        <v>141678.94</v>
      </c>
      <c r="N27" s="27">
        <v>0</v>
      </c>
      <c r="O27" s="27">
        <v>-7378.94</v>
      </c>
      <c r="P27" s="28">
        <v>1.0549999999999999</v>
      </c>
      <c r="Q27" s="27">
        <f t="shared" si="8"/>
        <v>141678.94</v>
      </c>
      <c r="R27" s="27"/>
      <c r="S27" s="27">
        <f t="shared" si="7"/>
        <v>141678.94</v>
      </c>
      <c r="T27" s="27">
        <f t="shared" si="9"/>
        <v>141678.94</v>
      </c>
      <c r="U27" s="27">
        <v>150922.5</v>
      </c>
      <c r="V27" s="27">
        <f t="shared" si="10"/>
        <v>-9243.5599999999977</v>
      </c>
      <c r="W27" s="27"/>
      <c r="X27" s="27">
        <f t="shared" si="11"/>
        <v>150922.5</v>
      </c>
      <c r="Y27" s="27">
        <f t="shared" si="12"/>
        <v>-9243.5599999999977</v>
      </c>
    </row>
    <row r="28" spans="1:25" ht="20.100000000000001" customHeight="1" outlineLevel="1" x14ac:dyDescent="0.2">
      <c r="A28" s="26" t="s">
        <v>327</v>
      </c>
      <c r="B28" s="30">
        <v>112</v>
      </c>
      <c r="C28" s="30" t="str">
        <f t="shared" si="4"/>
        <v>3</v>
      </c>
      <c r="D28" s="30" t="str">
        <f t="shared" si="5"/>
        <v>32</v>
      </c>
      <c r="E28" s="26" t="str">
        <f t="shared" si="6"/>
        <v>323</v>
      </c>
      <c r="F28" s="26" t="s">
        <v>97</v>
      </c>
      <c r="G28" s="26" t="s">
        <v>98</v>
      </c>
      <c r="H28" s="26" t="s">
        <v>99</v>
      </c>
      <c r="I28" s="27">
        <v>117500</v>
      </c>
      <c r="J28" s="27">
        <v>118372.66</v>
      </c>
      <c r="K28" s="27">
        <v>-872.66</v>
      </c>
      <c r="L28" s="27">
        <v>0</v>
      </c>
      <c r="M28" s="27">
        <v>118372.66</v>
      </c>
      <c r="N28" s="27">
        <v>0</v>
      </c>
      <c r="O28" s="27">
        <v>-872.66</v>
      </c>
      <c r="P28" s="28">
        <v>1.0069999999999999</v>
      </c>
      <c r="Q28" s="27">
        <f t="shared" si="8"/>
        <v>118372.66</v>
      </c>
      <c r="R28" s="27"/>
      <c r="S28" s="27">
        <f t="shared" si="7"/>
        <v>118372.66</v>
      </c>
      <c r="T28" s="27">
        <f t="shared" si="9"/>
        <v>118372.66</v>
      </c>
      <c r="U28" s="27">
        <v>118372.66</v>
      </c>
      <c r="V28" s="27">
        <f t="shared" si="10"/>
        <v>0</v>
      </c>
      <c r="W28" s="27"/>
      <c r="X28" s="27">
        <f t="shared" si="11"/>
        <v>118372.66</v>
      </c>
      <c r="Y28" s="27">
        <f t="shared" si="12"/>
        <v>0</v>
      </c>
    </row>
    <row r="29" spans="1:25" ht="20.100000000000001" customHeight="1" outlineLevel="1" x14ac:dyDescent="0.2">
      <c r="A29" s="26" t="s">
        <v>327</v>
      </c>
      <c r="B29" s="30">
        <v>112</v>
      </c>
      <c r="C29" s="30" t="str">
        <f t="shared" si="4"/>
        <v>3</v>
      </c>
      <c r="D29" s="30" t="str">
        <f t="shared" si="5"/>
        <v>32</v>
      </c>
      <c r="E29" s="26" t="str">
        <f t="shared" si="6"/>
        <v>323</v>
      </c>
      <c r="F29" s="26" t="s">
        <v>100</v>
      </c>
      <c r="G29" s="26" t="s">
        <v>101</v>
      </c>
      <c r="H29" s="26" t="s">
        <v>102</v>
      </c>
      <c r="I29" s="27">
        <v>54000</v>
      </c>
      <c r="J29" s="27">
        <v>25415</v>
      </c>
      <c r="K29" s="27">
        <v>28585</v>
      </c>
      <c r="L29" s="27">
        <v>0</v>
      </c>
      <c r="M29" s="27">
        <v>25415</v>
      </c>
      <c r="N29" s="27">
        <v>0</v>
      </c>
      <c r="O29" s="27">
        <v>28585</v>
      </c>
      <c r="P29" s="28">
        <v>0.47099999999999997</v>
      </c>
      <c r="Q29" s="27">
        <f t="shared" si="8"/>
        <v>25415</v>
      </c>
      <c r="R29" s="27"/>
      <c r="S29" s="27">
        <f t="shared" si="7"/>
        <v>25415</v>
      </c>
      <c r="T29" s="27">
        <f t="shared" si="9"/>
        <v>25415</v>
      </c>
      <c r="U29" s="27">
        <v>25415</v>
      </c>
      <c r="V29" s="27">
        <f t="shared" si="10"/>
        <v>0</v>
      </c>
      <c r="W29" s="27"/>
      <c r="X29" s="27">
        <f t="shared" si="11"/>
        <v>25415</v>
      </c>
      <c r="Y29" s="27">
        <f t="shared" si="12"/>
        <v>0</v>
      </c>
    </row>
    <row r="30" spans="1:25" ht="20.100000000000001" customHeight="1" outlineLevel="1" x14ac:dyDescent="0.2">
      <c r="A30" s="26" t="s">
        <v>327</v>
      </c>
      <c r="B30" s="30">
        <v>112</v>
      </c>
      <c r="C30" s="30" t="str">
        <f t="shared" si="4"/>
        <v>3</v>
      </c>
      <c r="D30" s="30" t="str">
        <f t="shared" si="5"/>
        <v>32</v>
      </c>
      <c r="E30" s="26" t="str">
        <f t="shared" si="6"/>
        <v>323</v>
      </c>
      <c r="F30" s="26" t="s">
        <v>41</v>
      </c>
      <c r="G30" s="26" t="s">
        <v>103</v>
      </c>
      <c r="H30" s="26" t="s">
        <v>43</v>
      </c>
      <c r="I30" s="27">
        <v>95600</v>
      </c>
      <c r="J30" s="27">
        <v>107777.74</v>
      </c>
      <c r="K30" s="27">
        <v>-12177.74</v>
      </c>
      <c r="L30" s="27">
        <v>0</v>
      </c>
      <c r="M30" s="27">
        <v>107777.74</v>
      </c>
      <c r="N30" s="27">
        <v>0</v>
      </c>
      <c r="O30" s="27">
        <v>-12177.74</v>
      </c>
      <c r="P30" s="28">
        <v>1.127</v>
      </c>
      <c r="Q30" s="27">
        <f t="shared" si="8"/>
        <v>107777.74</v>
      </c>
      <c r="R30" s="27"/>
      <c r="S30" s="27">
        <f t="shared" si="7"/>
        <v>107777.74</v>
      </c>
      <c r="T30" s="27">
        <f t="shared" si="9"/>
        <v>107777.74</v>
      </c>
      <c r="U30" s="27">
        <v>111712.14</v>
      </c>
      <c r="V30" s="27">
        <f t="shared" si="10"/>
        <v>-3934.3999999999942</v>
      </c>
      <c r="W30" s="27"/>
      <c r="X30" s="27">
        <f t="shared" si="11"/>
        <v>111712.14</v>
      </c>
      <c r="Y30" s="27">
        <f t="shared" si="12"/>
        <v>-3934.3999999999942</v>
      </c>
    </row>
    <row r="31" spans="1:25" ht="20.100000000000001" customHeight="1" outlineLevel="1" x14ac:dyDescent="0.2">
      <c r="A31" s="26" t="s">
        <v>327</v>
      </c>
      <c r="B31" s="30">
        <v>112</v>
      </c>
      <c r="C31" s="30" t="str">
        <f t="shared" si="4"/>
        <v>3</v>
      </c>
      <c r="D31" s="30" t="str">
        <f t="shared" si="5"/>
        <v>32</v>
      </c>
      <c r="E31" s="26" t="str">
        <f t="shared" si="6"/>
        <v>323</v>
      </c>
      <c r="F31" s="26" t="s">
        <v>104</v>
      </c>
      <c r="G31" s="26" t="s">
        <v>105</v>
      </c>
      <c r="H31" s="26" t="s">
        <v>106</v>
      </c>
      <c r="I31" s="27">
        <v>50000</v>
      </c>
      <c r="J31" s="27">
        <v>50000</v>
      </c>
      <c r="K31" s="27">
        <v>0</v>
      </c>
      <c r="L31" s="27">
        <v>0</v>
      </c>
      <c r="M31" s="27">
        <v>50000</v>
      </c>
      <c r="N31" s="27">
        <v>0</v>
      </c>
      <c r="O31" s="27">
        <v>0</v>
      </c>
      <c r="P31" s="28">
        <v>1</v>
      </c>
      <c r="Q31" s="27">
        <f t="shared" si="8"/>
        <v>50000</v>
      </c>
      <c r="R31" s="27"/>
      <c r="S31" s="27">
        <f t="shared" si="7"/>
        <v>50000</v>
      </c>
      <c r="T31" s="27">
        <f t="shared" si="9"/>
        <v>50000</v>
      </c>
      <c r="U31" s="27">
        <v>50000</v>
      </c>
      <c r="V31" s="27">
        <f t="shared" si="10"/>
        <v>0</v>
      </c>
      <c r="W31" s="27"/>
      <c r="X31" s="27">
        <f t="shared" si="11"/>
        <v>50000</v>
      </c>
      <c r="Y31" s="27">
        <f t="shared" si="12"/>
        <v>0</v>
      </c>
    </row>
    <row r="32" spans="1:25" ht="20.100000000000001" customHeight="1" outlineLevel="1" x14ac:dyDescent="0.2">
      <c r="A32" s="26" t="s">
        <v>327</v>
      </c>
      <c r="B32" s="30">
        <v>112</v>
      </c>
      <c r="C32" s="30" t="str">
        <f t="shared" si="4"/>
        <v>3</v>
      </c>
      <c r="D32" s="30" t="str">
        <f t="shared" si="5"/>
        <v>32</v>
      </c>
      <c r="E32" s="26" t="str">
        <f t="shared" si="6"/>
        <v>329</v>
      </c>
      <c r="F32" s="26" t="s">
        <v>107</v>
      </c>
      <c r="G32" s="26" t="s">
        <v>108</v>
      </c>
      <c r="H32" s="26" t="s">
        <v>109</v>
      </c>
      <c r="I32" s="27">
        <v>4000</v>
      </c>
      <c r="J32" s="27">
        <v>5350.82</v>
      </c>
      <c r="K32" s="27">
        <v>-1350.82</v>
      </c>
      <c r="L32" s="27">
        <v>0</v>
      </c>
      <c r="M32" s="27">
        <v>5350.82</v>
      </c>
      <c r="N32" s="27">
        <v>0</v>
      </c>
      <c r="O32" s="27">
        <v>-1350.82</v>
      </c>
      <c r="P32" s="28">
        <v>1.3380000000000001</v>
      </c>
      <c r="Q32" s="27">
        <f t="shared" si="8"/>
        <v>5350.82</v>
      </c>
      <c r="R32" s="27">
        <v>570.78</v>
      </c>
      <c r="S32" s="27">
        <f t="shared" si="7"/>
        <v>5921.5999999999995</v>
      </c>
      <c r="T32" s="27">
        <f t="shared" si="9"/>
        <v>5921.5999999999995</v>
      </c>
      <c r="U32" s="27">
        <v>5083.92</v>
      </c>
      <c r="V32" s="27">
        <f t="shared" si="10"/>
        <v>837.67999999999938</v>
      </c>
      <c r="W32" s="27"/>
      <c r="X32" s="27">
        <f t="shared" si="11"/>
        <v>5083.92</v>
      </c>
      <c r="Y32" s="27">
        <f t="shared" si="12"/>
        <v>837.67999999999938</v>
      </c>
    </row>
    <row r="33" spans="1:25" ht="20.100000000000001" customHeight="1" outlineLevel="1" x14ac:dyDescent="0.2">
      <c r="A33" s="26" t="s">
        <v>327</v>
      </c>
      <c r="B33" s="30">
        <v>112</v>
      </c>
      <c r="C33" s="30" t="str">
        <f t="shared" si="4"/>
        <v>3</v>
      </c>
      <c r="D33" s="30" t="str">
        <f t="shared" si="5"/>
        <v>32</v>
      </c>
      <c r="E33" s="26" t="str">
        <f t="shared" si="6"/>
        <v>329</v>
      </c>
      <c r="F33" s="26" t="s">
        <v>110</v>
      </c>
      <c r="G33" s="26" t="s">
        <v>111</v>
      </c>
      <c r="H33" s="26" t="s">
        <v>112</v>
      </c>
      <c r="I33" s="27">
        <v>25000</v>
      </c>
      <c r="J33" s="27">
        <v>24824.87</v>
      </c>
      <c r="K33" s="27">
        <v>175.13</v>
      </c>
      <c r="L33" s="27">
        <v>0</v>
      </c>
      <c r="M33" s="27">
        <v>24824.87</v>
      </c>
      <c r="N33" s="27">
        <v>0</v>
      </c>
      <c r="O33" s="27">
        <v>175.13</v>
      </c>
      <c r="P33" s="28">
        <v>0.99299999999999999</v>
      </c>
      <c r="Q33" s="27">
        <f t="shared" si="8"/>
        <v>24824.87</v>
      </c>
      <c r="R33" s="27"/>
      <c r="S33" s="27">
        <f t="shared" si="7"/>
        <v>24824.87</v>
      </c>
      <c r="T33" s="27">
        <f t="shared" si="9"/>
        <v>24824.87</v>
      </c>
      <c r="U33" s="27">
        <v>24824.87</v>
      </c>
      <c r="V33" s="27">
        <f t="shared" si="10"/>
        <v>0</v>
      </c>
      <c r="W33" s="27"/>
      <c r="X33" s="27">
        <f t="shared" si="11"/>
        <v>24824.87</v>
      </c>
      <c r="Y33" s="27">
        <f t="shared" si="12"/>
        <v>0</v>
      </c>
    </row>
    <row r="34" spans="1:25" ht="20.100000000000001" customHeight="1" outlineLevel="1" x14ac:dyDescent="0.2">
      <c r="A34" s="26" t="s">
        <v>327</v>
      </c>
      <c r="B34" s="30">
        <v>112</v>
      </c>
      <c r="C34" s="30" t="str">
        <f t="shared" si="4"/>
        <v>3</v>
      </c>
      <c r="D34" s="30" t="str">
        <f t="shared" si="5"/>
        <v>32</v>
      </c>
      <c r="E34" s="26" t="str">
        <f t="shared" si="6"/>
        <v>329</v>
      </c>
      <c r="F34" s="26" t="s">
        <v>113</v>
      </c>
      <c r="G34" s="26" t="s">
        <v>114</v>
      </c>
      <c r="H34" s="26" t="s">
        <v>115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8">
        <v>0</v>
      </c>
      <c r="Q34" s="27">
        <f t="shared" si="8"/>
        <v>0</v>
      </c>
      <c r="R34" s="27"/>
      <c r="S34" s="27">
        <f t="shared" si="7"/>
        <v>0</v>
      </c>
      <c r="T34" s="27">
        <f t="shared" si="9"/>
        <v>0</v>
      </c>
      <c r="U34" s="27"/>
      <c r="V34" s="27">
        <f t="shared" si="10"/>
        <v>0</v>
      </c>
      <c r="W34" s="27"/>
      <c r="X34" s="27">
        <f t="shared" si="11"/>
        <v>0</v>
      </c>
      <c r="Y34" s="27">
        <f t="shared" si="12"/>
        <v>0</v>
      </c>
    </row>
    <row r="35" spans="1:25" ht="20.100000000000001" customHeight="1" outlineLevel="1" x14ac:dyDescent="0.2">
      <c r="A35" s="26" t="s">
        <v>327</v>
      </c>
      <c r="B35" s="30">
        <v>112</v>
      </c>
      <c r="C35" s="30" t="str">
        <f t="shared" si="4"/>
        <v>3</v>
      </c>
      <c r="D35" s="30" t="str">
        <f t="shared" si="5"/>
        <v>32</v>
      </c>
      <c r="E35" s="26" t="str">
        <f t="shared" si="6"/>
        <v>329</v>
      </c>
      <c r="F35" s="26" t="s">
        <v>116</v>
      </c>
      <c r="G35" s="26" t="s">
        <v>117</v>
      </c>
      <c r="H35" s="26" t="s">
        <v>118</v>
      </c>
      <c r="I35" s="27">
        <v>1000</v>
      </c>
      <c r="J35" s="27">
        <v>14618</v>
      </c>
      <c r="K35" s="27">
        <v>-13618</v>
      </c>
      <c r="L35" s="27">
        <v>0</v>
      </c>
      <c r="M35" s="27">
        <v>14618</v>
      </c>
      <c r="N35" s="27">
        <v>0</v>
      </c>
      <c r="O35" s="27">
        <v>-13618</v>
      </c>
      <c r="P35" s="28">
        <v>14.618</v>
      </c>
      <c r="Q35" s="27">
        <f t="shared" si="8"/>
        <v>14618</v>
      </c>
      <c r="R35" s="27"/>
      <c r="S35" s="27">
        <f t="shared" si="7"/>
        <v>14618</v>
      </c>
      <c r="T35" s="27">
        <f t="shared" si="9"/>
        <v>14618</v>
      </c>
      <c r="U35" s="27">
        <v>14618</v>
      </c>
      <c r="V35" s="27">
        <f t="shared" si="10"/>
        <v>0</v>
      </c>
      <c r="W35" s="27"/>
      <c r="X35" s="27">
        <f t="shared" si="11"/>
        <v>14618</v>
      </c>
      <c r="Y35" s="27">
        <f t="shared" si="12"/>
        <v>0</v>
      </c>
    </row>
    <row r="36" spans="1:25" ht="20.100000000000001" customHeight="1" outlineLevel="1" x14ac:dyDescent="0.2">
      <c r="A36" s="26" t="s">
        <v>327</v>
      </c>
      <c r="B36" s="30">
        <v>112</v>
      </c>
      <c r="C36" s="30" t="str">
        <f t="shared" si="4"/>
        <v>3</v>
      </c>
      <c r="D36" s="30" t="str">
        <f t="shared" si="5"/>
        <v>34</v>
      </c>
      <c r="E36" s="26" t="str">
        <f t="shared" si="6"/>
        <v>343</v>
      </c>
      <c r="F36" s="26" t="s">
        <v>119</v>
      </c>
      <c r="G36" s="26" t="s">
        <v>120</v>
      </c>
      <c r="H36" s="26" t="s">
        <v>121</v>
      </c>
      <c r="I36" s="27">
        <v>1000</v>
      </c>
      <c r="J36" s="27">
        <v>1000</v>
      </c>
      <c r="K36" s="27">
        <v>0</v>
      </c>
      <c r="L36" s="27">
        <v>0</v>
      </c>
      <c r="M36" s="27">
        <v>1000</v>
      </c>
      <c r="N36" s="27">
        <v>0</v>
      </c>
      <c r="O36" s="27">
        <v>0</v>
      </c>
      <c r="P36" s="28">
        <v>1</v>
      </c>
      <c r="Q36" s="27">
        <f t="shared" si="8"/>
        <v>1000</v>
      </c>
      <c r="R36" s="27"/>
      <c r="S36" s="27">
        <f t="shared" si="7"/>
        <v>1000</v>
      </c>
      <c r="T36" s="27">
        <f t="shared" si="9"/>
        <v>1000</v>
      </c>
      <c r="U36" s="27">
        <v>1000</v>
      </c>
      <c r="V36" s="27">
        <f t="shared" si="10"/>
        <v>0</v>
      </c>
      <c r="W36" s="27"/>
      <c r="X36" s="27">
        <f t="shared" si="11"/>
        <v>1000</v>
      </c>
      <c r="Y36" s="27">
        <f t="shared" si="12"/>
        <v>0</v>
      </c>
    </row>
    <row r="37" spans="1:25" ht="20.100000000000001" customHeight="1" outlineLevel="1" x14ac:dyDescent="0.2">
      <c r="A37" s="26" t="s">
        <v>327</v>
      </c>
      <c r="B37" s="30">
        <v>112</v>
      </c>
      <c r="C37" s="30" t="str">
        <f t="shared" si="4"/>
        <v>3</v>
      </c>
      <c r="D37" s="30" t="str">
        <f t="shared" si="5"/>
        <v>36</v>
      </c>
      <c r="E37" s="26" t="str">
        <f t="shared" si="6"/>
        <v>369</v>
      </c>
      <c r="F37" s="26" t="s">
        <v>122</v>
      </c>
      <c r="G37" s="26" t="s">
        <v>123</v>
      </c>
      <c r="H37" s="26" t="s">
        <v>124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8">
        <v>0</v>
      </c>
      <c r="Q37" s="27">
        <f t="shared" si="8"/>
        <v>0</v>
      </c>
      <c r="R37" s="27"/>
      <c r="S37" s="27">
        <f t="shared" si="7"/>
        <v>0</v>
      </c>
      <c r="T37" s="27">
        <f t="shared" si="9"/>
        <v>0</v>
      </c>
      <c r="U37" s="27"/>
      <c r="V37" s="27">
        <f t="shared" si="10"/>
        <v>0</v>
      </c>
      <c r="W37" s="27"/>
      <c r="X37" s="27">
        <f t="shared" si="11"/>
        <v>0</v>
      </c>
      <c r="Y37" s="27">
        <f t="shared" si="12"/>
        <v>0</v>
      </c>
    </row>
    <row r="38" spans="1:25" ht="20.100000000000001" customHeight="1" x14ac:dyDescent="0.2">
      <c r="F38" s="216" t="s">
        <v>125</v>
      </c>
      <c r="G38" s="216"/>
      <c r="H38" s="216"/>
      <c r="I38" s="52">
        <f>SUMIFS(I39:I209,$A39:$A209,"A212401",$B39:$B209,"311")</f>
        <v>18300</v>
      </c>
      <c r="J38" s="52">
        <f t="shared" ref="J38:V38" si="13">SUMIFS(J39:J209,$A39:$A209,"A212401",$B39:$B209,"311")</f>
        <v>0</v>
      </c>
      <c r="K38" s="52">
        <f t="shared" si="13"/>
        <v>18300</v>
      </c>
      <c r="L38" s="52">
        <f t="shared" si="13"/>
        <v>0</v>
      </c>
      <c r="M38" s="52">
        <f t="shared" si="13"/>
        <v>0</v>
      </c>
      <c r="N38" s="52">
        <f t="shared" si="13"/>
        <v>0</v>
      </c>
      <c r="O38" s="52">
        <f t="shared" si="13"/>
        <v>18300</v>
      </c>
      <c r="P38" s="53">
        <v>0</v>
      </c>
      <c r="Q38" s="52">
        <f t="shared" si="13"/>
        <v>0</v>
      </c>
      <c r="R38" s="52">
        <f t="shared" si="13"/>
        <v>0</v>
      </c>
      <c r="S38" s="52">
        <f t="shared" si="13"/>
        <v>0</v>
      </c>
      <c r="T38" s="52">
        <f>SUMIFS(T39:T209,$A39:$A209,"A212401",$B39:$B209,"311")</f>
        <v>8389.26</v>
      </c>
      <c r="U38" s="52">
        <f t="shared" si="13"/>
        <v>8389.26</v>
      </c>
      <c r="V38" s="52">
        <f t="shared" si="13"/>
        <v>0</v>
      </c>
      <c r="W38" s="52"/>
      <c r="X38" s="52">
        <f>SUMIFS(X39:X209,$A39:$A209,"A212401",$B39:$B209,"311")</f>
        <v>8389.26</v>
      </c>
      <c r="Y38" s="52">
        <f>SUMIFS(Y39:Y209,$A39:$A209,"A212401",$B39:$B209,"311")</f>
        <v>0</v>
      </c>
    </row>
    <row r="39" spans="1:25" ht="20.100000000000001" customHeight="1" outlineLevel="1" x14ac:dyDescent="0.2">
      <c r="A39" s="26" t="s">
        <v>327</v>
      </c>
      <c r="B39" s="30">
        <v>311</v>
      </c>
      <c r="C39" s="30" t="str">
        <f>LEFT(F39,1)</f>
        <v>3</v>
      </c>
      <c r="D39" s="30" t="str">
        <f>LEFT(F39,2)</f>
        <v>32</v>
      </c>
      <c r="E39" s="26" t="str">
        <f t="shared" ref="E39:E104" si="14">LEFT(F39,3)</f>
        <v>323</v>
      </c>
      <c r="F39" s="26" t="s">
        <v>126</v>
      </c>
      <c r="G39" s="26" t="s">
        <v>127</v>
      </c>
      <c r="H39" s="26" t="s">
        <v>128</v>
      </c>
      <c r="I39" s="27">
        <v>18300</v>
      </c>
      <c r="J39" s="27">
        <v>0</v>
      </c>
      <c r="K39" s="27">
        <v>18300</v>
      </c>
      <c r="L39" s="27">
        <v>0</v>
      </c>
      <c r="M39" s="27">
        <v>0</v>
      </c>
      <c r="N39" s="27">
        <v>0</v>
      </c>
      <c r="O39" s="27">
        <v>18300</v>
      </c>
      <c r="P39" s="28">
        <v>0</v>
      </c>
      <c r="Q39" s="27">
        <f>J39</f>
        <v>0</v>
      </c>
      <c r="R39" s="27"/>
      <c r="S39" s="27">
        <f>R39+Q39</f>
        <v>0</v>
      </c>
      <c r="T39" s="27">
        <f>U39</f>
        <v>8389.26</v>
      </c>
      <c r="U39" s="27">
        <v>8389.26</v>
      </c>
      <c r="V39" s="27">
        <f t="shared" si="10"/>
        <v>0</v>
      </c>
      <c r="W39" s="27"/>
      <c r="X39" s="27">
        <f>U39+W39</f>
        <v>8389.26</v>
      </c>
      <c r="Y39" s="27">
        <f>T39-X39</f>
        <v>0</v>
      </c>
    </row>
    <row r="40" spans="1:25" ht="20.100000000000001" customHeight="1" x14ac:dyDescent="0.2">
      <c r="F40" s="216" t="s">
        <v>129</v>
      </c>
      <c r="G40" s="216"/>
      <c r="H40" s="216"/>
      <c r="I40" s="52">
        <f>SUMIFS(I41:I211,$A41:$A211,"A212401",$B41:$B211,"431")</f>
        <v>963300</v>
      </c>
      <c r="J40" s="52">
        <f t="shared" ref="J40:V40" si="15">SUMIFS(J41:J211,$A41:$A211,"A212401",$B41:$B211,"431")</f>
        <v>359408.36</v>
      </c>
      <c r="K40" s="52">
        <f t="shared" si="15"/>
        <v>603891.64</v>
      </c>
      <c r="L40" s="52">
        <f t="shared" si="15"/>
        <v>0</v>
      </c>
      <c r="M40" s="52">
        <f t="shared" si="15"/>
        <v>359408.36000000004</v>
      </c>
      <c r="N40" s="52">
        <f t="shared" si="15"/>
        <v>0</v>
      </c>
      <c r="O40" s="52">
        <f t="shared" si="15"/>
        <v>603891.64</v>
      </c>
      <c r="P40" s="53">
        <v>0.373</v>
      </c>
      <c r="Q40" s="52">
        <f t="shared" si="15"/>
        <v>359408.36</v>
      </c>
      <c r="R40" s="52">
        <f t="shared" si="15"/>
        <v>0</v>
      </c>
      <c r="S40" s="52">
        <f t="shared" si="15"/>
        <v>359408.36</v>
      </c>
      <c r="T40" s="52">
        <f>SUMIFS(T41:T211,$A41:$A211,"A212401",$B41:$B211,"431")</f>
        <v>826259.47999999975</v>
      </c>
      <c r="U40" s="52">
        <f t="shared" si="15"/>
        <v>826259.47999999975</v>
      </c>
      <c r="V40" s="52">
        <f t="shared" si="15"/>
        <v>0</v>
      </c>
      <c r="W40" s="52"/>
      <c r="X40" s="52">
        <f>SUMIFS(X41:X211,$A41:$A211,"A212401",$B41:$B211,"431")</f>
        <v>826259.47999999975</v>
      </c>
      <c r="Y40" s="52">
        <f>SUMIFS(Y41:Y211,$A41:$A211,"A212401",$B41:$B211,"431")</f>
        <v>0</v>
      </c>
    </row>
    <row r="41" spans="1:25" ht="20.100000000000001" customHeight="1" outlineLevel="1" x14ac:dyDescent="0.2">
      <c r="A41" s="26" t="s">
        <v>327</v>
      </c>
      <c r="B41" s="30">
        <v>431</v>
      </c>
      <c r="C41" s="30" t="str">
        <f t="shared" ref="C41:C66" si="16">LEFT(F41,1)</f>
        <v>3</v>
      </c>
      <c r="D41" s="30" t="str">
        <f t="shared" ref="D41:D66" si="17">LEFT(F41,2)</f>
        <v>32</v>
      </c>
      <c r="E41" s="26" t="str">
        <f t="shared" si="14"/>
        <v>321</v>
      </c>
      <c r="F41" s="26" t="s">
        <v>130</v>
      </c>
      <c r="G41" s="26" t="s">
        <v>131</v>
      </c>
      <c r="H41" s="26" t="s">
        <v>132</v>
      </c>
      <c r="I41" s="27">
        <v>12000</v>
      </c>
      <c r="J41" s="27">
        <f>I41-K41</f>
        <v>2581.08</v>
      </c>
      <c r="K41" s="27">
        <v>9418.92</v>
      </c>
      <c r="L41" s="27">
        <v>0</v>
      </c>
      <c r="M41" s="27">
        <v>2581.08</v>
      </c>
      <c r="N41" s="27">
        <v>0</v>
      </c>
      <c r="O41" s="27">
        <v>9418.92</v>
      </c>
      <c r="P41" s="28">
        <v>0.215</v>
      </c>
      <c r="Q41" s="27">
        <f t="shared" ref="Q41:Q66" si="18">J41</f>
        <v>2581.08</v>
      </c>
      <c r="R41" s="27"/>
      <c r="S41" s="27">
        <f t="shared" ref="S41:S66" si="19">R41+Q41</f>
        <v>2581.08</v>
      </c>
      <c r="T41" s="27">
        <f>U41</f>
        <v>21376.04</v>
      </c>
      <c r="U41" s="27">
        <v>21376.04</v>
      </c>
      <c r="V41" s="27">
        <f t="shared" si="10"/>
        <v>0</v>
      </c>
      <c r="W41" s="27"/>
      <c r="X41" s="27">
        <f t="shared" ref="X41:X66" si="20">U41+W41</f>
        <v>21376.04</v>
      </c>
      <c r="Y41" s="27">
        <f t="shared" ref="Y41:Y66" si="21">T41-X41</f>
        <v>0</v>
      </c>
    </row>
    <row r="42" spans="1:25" ht="20.100000000000001" customHeight="1" outlineLevel="1" x14ac:dyDescent="0.2">
      <c r="A42" s="26" t="s">
        <v>327</v>
      </c>
      <c r="B42" s="30">
        <v>431</v>
      </c>
      <c r="C42" s="30" t="str">
        <f>LEFT(F42,1)</f>
        <v>3</v>
      </c>
      <c r="D42" s="30" t="str">
        <f>LEFT(F42,2)</f>
        <v>32</v>
      </c>
      <c r="E42" s="26" t="str">
        <f>LEFT(F42,3)</f>
        <v>321</v>
      </c>
      <c r="F42" s="35">
        <v>3212</v>
      </c>
      <c r="G42" s="26"/>
      <c r="H42" s="26" t="s">
        <v>68</v>
      </c>
      <c r="I42" s="27"/>
      <c r="J42" s="27">
        <f t="shared" ref="J42:J105" si="22">I42-K42</f>
        <v>0</v>
      </c>
      <c r="K42" s="27"/>
      <c r="L42" s="27"/>
      <c r="M42" s="27"/>
      <c r="N42" s="27"/>
      <c r="O42" s="27"/>
      <c r="P42" s="28"/>
      <c r="Q42" s="27">
        <f t="shared" si="18"/>
        <v>0</v>
      </c>
      <c r="R42" s="27"/>
      <c r="S42" s="27">
        <f t="shared" si="19"/>
        <v>0</v>
      </c>
      <c r="T42" s="27">
        <f t="shared" ref="T42:T105" si="23">U42</f>
        <v>9.4499999999999993</v>
      </c>
      <c r="U42" s="27">
        <v>9.4499999999999993</v>
      </c>
      <c r="V42" s="27">
        <f t="shared" si="10"/>
        <v>0</v>
      </c>
      <c r="W42" s="27"/>
      <c r="X42" s="27">
        <f t="shared" si="20"/>
        <v>9.4499999999999993</v>
      </c>
      <c r="Y42" s="27">
        <f t="shared" si="21"/>
        <v>0</v>
      </c>
    </row>
    <row r="43" spans="1:25" ht="20.100000000000001" customHeight="1" outlineLevel="1" x14ac:dyDescent="0.2">
      <c r="A43" s="26" t="s">
        <v>327</v>
      </c>
      <c r="B43" s="30">
        <v>431</v>
      </c>
      <c r="C43" s="30" t="str">
        <f t="shared" si="16"/>
        <v>3</v>
      </c>
      <c r="D43" s="30" t="str">
        <f t="shared" si="17"/>
        <v>32</v>
      </c>
      <c r="E43" s="26" t="str">
        <f t="shared" si="14"/>
        <v>321</v>
      </c>
      <c r="F43" s="26" t="s">
        <v>69</v>
      </c>
      <c r="G43" s="26" t="s">
        <v>133</v>
      </c>
      <c r="H43" s="26" t="s">
        <v>71</v>
      </c>
      <c r="I43" s="27">
        <v>5000</v>
      </c>
      <c r="J43" s="27">
        <f t="shared" si="22"/>
        <v>480</v>
      </c>
      <c r="K43" s="27">
        <v>4520</v>
      </c>
      <c r="L43" s="27">
        <v>0</v>
      </c>
      <c r="M43" s="27">
        <v>480</v>
      </c>
      <c r="N43" s="27">
        <v>0</v>
      </c>
      <c r="O43" s="27">
        <v>4520</v>
      </c>
      <c r="P43" s="28">
        <v>9.6000000000000002E-2</v>
      </c>
      <c r="Q43" s="27">
        <f t="shared" si="18"/>
        <v>480</v>
      </c>
      <c r="R43" s="27"/>
      <c r="S43" s="27">
        <f t="shared" si="19"/>
        <v>480</v>
      </c>
      <c r="T43" s="27">
        <f t="shared" si="23"/>
        <v>1051.75</v>
      </c>
      <c r="U43" s="27">
        <v>1051.75</v>
      </c>
      <c r="V43" s="27">
        <f t="shared" si="10"/>
        <v>0</v>
      </c>
      <c r="W43" s="27"/>
      <c r="X43" s="27">
        <f t="shared" si="20"/>
        <v>1051.75</v>
      </c>
      <c r="Y43" s="27">
        <f t="shared" si="21"/>
        <v>0</v>
      </c>
    </row>
    <row r="44" spans="1:25" ht="20.100000000000001" customHeight="1" outlineLevel="1" x14ac:dyDescent="0.2">
      <c r="A44" s="26" t="s">
        <v>327</v>
      </c>
      <c r="B44" s="30">
        <v>431</v>
      </c>
      <c r="C44" s="30" t="str">
        <f t="shared" si="16"/>
        <v>3</v>
      </c>
      <c r="D44" s="30" t="str">
        <f t="shared" si="17"/>
        <v>32</v>
      </c>
      <c r="E44" s="26" t="str">
        <f t="shared" si="14"/>
        <v>322</v>
      </c>
      <c r="F44" s="26" t="s">
        <v>72</v>
      </c>
      <c r="G44" s="26" t="s">
        <v>134</v>
      </c>
      <c r="H44" s="26" t="s">
        <v>74</v>
      </c>
      <c r="I44" s="27">
        <v>73000</v>
      </c>
      <c r="J44" s="27">
        <f t="shared" si="22"/>
        <v>28140.589999999997</v>
      </c>
      <c r="K44" s="27">
        <v>44859.41</v>
      </c>
      <c r="L44" s="27">
        <v>0</v>
      </c>
      <c r="M44" s="27">
        <v>28140.59</v>
      </c>
      <c r="N44" s="27">
        <v>0</v>
      </c>
      <c r="O44" s="27">
        <v>44859.41</v>
      </c>
      <c r="P44" s="28">
        <v>0.38600000000000001</v>
      </c>
      <c r="Q44" s="27">
        <f t="shared" si="18"/>
        <v>28140.589999999997</v>
      </c>
      <c r="R44" s="27"/>
      <c r="S44" s="27">
        <f t="shared" si="19"/>
        <v>28140.589999999997</v>
      </c>
      <c r="T44" s="27">
        <f t="shared" si="23"/>
        <v>62702.37</v>
      </c>
      <c r="U44" s="27">
        <v>62702.37</v>
      </c>
      <c r="V44" s="27">
        <f t="shared" si="10"/>
        <v>0</v>
      </c>
      <c r="W44" s="27"/>
      <c r="X44" s="27">
        <f t="shared" si="20"/>
        <v>62702.37</v>
      </c>
      <c r="Y44" s="27">
        <f t="shared" si="21"/>
        <v>0</v>
      </c>
    </row>
    <row r="45" spans="1:25" ht="20.100000000000001" customHeight="1" outlineLevel="1" x14ac:dyDescent="0.2">
      <c r="A45" s="26" t="s">
        <v>327</v>
      </c>
      <c r="B45" s="30">
        <v>431</v>
      </c>
      <c r="C45" s="30" t="str">
        <f t="shared" si="16"/>
        <v>3</v>
      </c>
      <c r="D45" s="30" t="str">
        <f t="shared" si="17"/>
        <v>32</v>
      </c>
      <c r="E45" s="26" t="str">
        <f t="shared" si="14"/>
        <v>322</v>
      </c>
      <c r="F45" s="26" t="s">
        <v>75</v>
      </c>
      <c r="G45" s="26" t="s">
        <v>135</v>
      </c>
      <c r="H45" s="26" t="s">
        <v>77</v>
      </c>
      <c r="I45" s="27">
        <v>64000</v>
      </c>
      <c r="J45" s="27">
        <f t="shared" si="22"/>
        <v>26016.879999999997</v>
      </c>
      <c r="K45" s="27">
        <v>37983.120000000003</v>
      </c>
      <c r="L45" s="27">
        <v>0</v>
      </c>
      <c r="M45" s="27">
        <v>26016.880000000001</v>
      </c>
      <c r="N45" s="27">
        <v>0</v>
      </c>
      <c r="O45" s="27">
        <v>37983.120000000003</v>
      </c>
      <c r="P45" s="28">
        <v>0.40699999999999997</v>
      </c>
      <c r="Q45" s="27">
        <f t="shared" si="18"/>
        <v>26016.879999999997</v>
      </c>
      <c r="R45" s="27"/>
      <c r="S45" s="27">
        <f t="shared" si="19"/>
        <v>26016.879999999997</v>
      </c>
      <c r="T45" s="27">
        <f t="shared" si="23"/>
        <v>45710.93</v>
      </c>
      <c r="U45" s="27">
        <v>45710.93</v>
      </c>
      <c r="V45" s="27">
        <f t="shared" si="10"/>
        <v>0</v>
      </c>
      <c r="W45" s="27"/>
      <c r="X45" s="27">
        <f t="shared" si="20"/>
        <v>45710.93</v>
      </c>
      <c r="Y45" s="27">
        <f t="shared" si="21"/>
        <v>0</v>
      </c>
    </row>
    <row r="46" spans="1:25" ht="20.100000000000001" customHeight="1" outlineLevel="1" x14ac:dyDescent="0.2">
      <c r="A46" s="26" t="s">
        <v>327</v>
      </c>
      <c r="B46" s="30">
        <v>431</v>
      </c>
      <c r="C46" s="30" t="str">
        <f>LEFT(F46,1)</f>
        <v>3</v>
      </c>
      <c r="D46" s="30" t="str">
        <f>LEFT(F46,2)</f>
        <v>32</v>
      </c>
      <c r="E46" s="26" t="str">
        <f>LEFT(F46,3)</f>
        <v>322</v>
      </c>
      <c r="F46" s="35">
        <v>3223</v>
      </c>
      <c r="G46" s="26" t="s">
        <v>135</v>
      </c>
      <c r="H46" s="26" t="s">
        <v>80</v>
      </c>
      <c r="I46" s="27"/>
      <c r="J46" s="27">
        <f t="shared" si="22"/>
        <v>0</v>
      </c>
      <c r="K46" s="27"/>
      <c r="L46" s="27"/>
      <c r="M46" s="27"/>
      <c r="N46" s="27"/>
      <c r="O46" s="27"/>
      <c r="P46" s="28"/>
      <c r="Q46" s="27">
        <f t="shared" si="18"/>
        <v>0</v>
      </c>
      <c r="R46" s="27"/>
      <c r="S46" s="27">
        <f t="shared" si="19"/>
        <v>0</v>
      </c>
      <c r="T46" s="27">
        <f t="shared" si="23"/>
        <v>4.59</v>
      </c>
      <c r="U46" s="27">
        <v>4.59</v>
      </c>
      <c r="V46" s="27">
        <f t="shared" si="10"/>
        <v>0</v>
      </c>
      <c r="W46" s="27"/>
      <c r="X46" s="27">
        <f t="shared" si="20"/>
        <v>4.59</v>
      </c>
      <c r="Y46" s="27">
        <f t="shared" si="21"/>
        <v>0</v>
      </c>
    </row>
    <row r="47" spans="1:25" ht="20.100000000000001" customHeight="1" outlineLevel="1" x14ac:dyDescent="0.2">
      <c r="A47" s="26" t="s">
        <v>327</v>
      </c>
      <c r="B47" s="30">
        <v>431</v>
      </c>
      <c r="C47" s="30" t="str">
        <f t="shared" si="16"/>
        <v>3</v>
      </c>
      <c r="D47" s="30" t="str">
        <f t="shared" si="17"/>
        <v>32</v>
      </c>
      <c r="E47" s="26" t="str">
        <f t="shared" si="14"/>
        <v>322</v>
      </c>
      <c r="F47" s="26" t="s">
        <v>81</v>
      </c>
      <c r="G47" s="26" t="s">
        <v>136</v>
      </c>
      <c r="H47" s="26" t="s">
        <v>83</v>
      </c>
      <c r="I47" s="27">
        <v>33000</v>
      </c>
      <c r="J47" s="27">
        <f t="shared" si="22"/>
        <v>13456.27</v>
      </c>
      <c r="K47" s="27">
        <v>19543.73</v>
      </c>
      <c r="L47" s="27">
        <v>0</v>
      </c>
      <c r="M47" s="27">
        <v>13456.27</v>
      </c>
      <c r="N47" s="27">
        <v>0</v>
      </c>
      <c r="O47" s="27">
        <v>19543.73</v>
      </c>
      <c r="P47" s="28">
        <v>0.40799999999999997</v>
      </c>
      <c r="Q47" s="27">
        <f t="shared" si="18"/>
        <v>13456.27</v>
      </c>
      <c r="R47" s="27"/>
      <c r="S47" s="27">
        <f t="shared" si="19"/>
        <v>13456.27</v>
      </c>
      <c r="T47" s="27">
        <f t="shared" si="23"/>
        <v>21583.88</v>
      </c>
      <c r="U47" s="27">
        <v>21583.88</v>
      </c>
      <c r="V47" s="27">
        <f t="shared" si="10"/>
        <v>0</v>
      </c>
      <c r="W47" s="27"/>
      <c r="X47" s="27">
        <f t="shared" si="20"/>
        <v>21583.88</v>
      </c>
      <c r="Y47" s="27">
        <f t="shared" si="21"/>
        <v>0</v>
      </c>
    </row>
    <row r="48" spans="1:25" ht="20.100000000000001" customHeight="1" outlineLevel="1" x14ac:dyDescent="0.2">
      <c r="A48" s="26" t="s">
        <v>327</v>
      </c>
      <c r="B48" s="30">
        <v>431</v>
      </c>
      <c r="C48" s="30" t="str">
        <f t="shared" si="16"/>
        <v>3</v>
      </c>
      <c r="D48" s="30" t="str">
        <f t="shared" si="17"/>
        <v>32</v>
      </c>
      <c r="E48" s="26" t="str">
        <f t="shared" si="14"/>
        <v>322</v>
      </c>
      <c r="F48" s="26" t="s">
        <v>84</v>
      </c>
      <c r="G48" s="26" t="s">
        <v>137</v>
      </c>
      <c r="H48" s="26" t="s">
        <v>86</v>
      </c>
      <c r="I48" s="27">
        <v>5000</v>
      </c>
      <c r="J48" s="27">
        <f t="shared" si="22"/>
        <v>502.10000000000036</v>
      </c>
      <c r="K48" s="27">
        <v>4497.8999999999996</v>
      </c>
      <c r="L48" s="27">
        <v>0</v>
      </c>
      <c r="M48" s="27">
        <v>502.1</v>
      </c>
      <c r="N48" s="27">
        <v>0</v>
      </c>
      <c r="O48" s="27">
        <v>4497.8999999999996</v>
      </c>
      <c r="P48" s="28">
        <v>0.1</v>
      </c>
      <c r="Q48" s="27">
        <f t="shared" si="18"/>
        <v>502.10000000000036</v>
      </c>
      <c r="R48" s="27"/>
      <c r="S48" s="27">
        <f t="shared" si="19"/>
        <v>502.10000000000036</v>
      </c>
      <c r="T48" s="27">
        <f t="shared" si="23"/>
        <v>6176.81</v>
      </c>
      <c r="U48" s="27">
        <v>6176.81</v>
      </c>
      <c r="V48" s="27">
        <f t="shared" si="10"/>
        <v>0</v>
      </c>
      <c r="W48" s="27"/>
      <c r="X48" s="27">
        <f t="shared" si="20"/>
        <v>6176.81</v>
      </c>
      <c r="Y48" s="27">
        <f t="shared" si="21"/>
        <v>0</v>
      </c>
    </row>
    <row r="49" spans="1:25" ht="20.100000000000001" customHeight="1" outlineLevel="1" x14ac:dyDescent="0.2">
      <c r="A49" s="26" t="s">
        <v>327</v>
      </c>
      <c r="B49" s="30">
        <v>431</v>
      </c>
      <c r="C49" s="30" t="str">
        <f t="shared" si="16"/>
        <v>3</v>
      </c>
      <c r="D49" s="30" t="str">
        <f t="shared" si="17"/>
        <v>32</v>
      </c>
      <c r="E49" s="26" t="str">
        <f t="shared" si="14"/>
        <v>322</v>
      </c>
      <c r="F49" s="26" t="s">
        <v>138</v>
      </c>
      <c r="G49" s="26" t="s">
        <v>139</v>
      </c>
      <c r="H49" s="26" t="s">
        <v>140</v>
      </c>
      <c r="I49" s="27">
        <v>4000</v>
      </c>
      <c r="J49" s="27">
        <f t="shared" si="22"/>
        <v>0</v>
      </c>
      <c r="K49" s="27">
        <v>4000</v>
      </c>
      <c r="L49" s="27">
        <v>0</v>
      </c>
      <c r="M49" s="27">
        <v>0</v>
      </c>
      <c r="N49" s="27">
        <v>0</v>
      </c>
      <c r="O49" s="27">
        <v>4000</v>
      </c>
      <c r="P49" s="28">
        <v>0</v>
      </c>
      <c r="Q49" s="27">
        <f t="shared" si="18"/>
        <v>0</v>
      </c>
      <c r="R49" s="27"/>
      <c r="S49" s="27">
        <f t="shared" si="19"/>
        <v>0</v>
      </c>
      <c r="T49" s="27">
        <f t="shared" si="23"/>
        <v>2740.27</v>
      </c>
      <c r="U49" s="27">
        <v>2740.27</v>
      </c>
      <c r="V49" s="27">
        <f t="shared" si="10"/>
        <v>0</v>
      </c>
      <c r="W49" s="27"/>
      <c r="X49" s="27">
        <f t="shared" si="20"/>
        <v>2740.27</v>
      </c>
      <c r="Y49" s="27">
        <f t="shared" si="21"/>
        <v>0</v>
      </c>
    </row>
    <row r="50" spans="1:25" ht="20.100000000000001" customHeight="1" outlineLevel="1" x14ac:dyDescent="0.2">
      <c r="A50" s="26" t="s">
        <v>327</v>
      </c>
      <c r="B50" s="30">
        <v>431</v>
      </c>
      <c r="C50" s="30" t="str">
        <f t="shared" si="16"/>
        <v>3</v>
      </c>
      <c r="D50" s="30" t="str">
        <f t="shared" si="17"/>
        <v>32</v>
      </c>
      <c r="E50" s="26" t="str">
        <f t="shared" si="14"/>
        <v>323</v>
      </c>
      <c r="F50" s="26" t="s">
        <v>87</v>
      </c>
      <c r="G50" s="26" t="s">
        <v>141</v>
      </c>
      <c r="H50" s="26" t="s">
        <v>89</v>
      </c>
      <c r="I50" s="27">
        <v>86000</v>
      </c>
      <c r="J50" s="27">
        <f t="shared" si="22"/>
        <v>23222.160000000003</v>
      </c>
      <c r="K50" s="27">
        <v>62777.84</v>
      </c>
      <c r="L50" s="27">
        <v>0</v>
      </c>
      <c r="M50" s="27">
        <v>23222.16</v>
      </c>
      <c r="N50" s="27">
        <v>0</v>
      </c>
      <c r="O50" s="27">
        <v>62777.84</v>
      </c>
      <c r="P50" s="28">
        <v>0.27</v>
      </c>
      <c r="Q50" s="27">
        <f t="shared" si="18"/>
        <v>23222.160000000003</v>
      </c>
      <c r="R50" s="27"/>
      <c r="S50" s="27">
        <f t="shared" si="19"/>
        <v>23222.160000000003</v>
      </c>
      <c r="T50" s="27">
        <f t="shared" si="23"/>
        <v>63902.17</v>
      </c>
      <c r="U50" s="27">
        <v>63902.17</v>
      </c>
      <c r="V50" s="27">
        <f t="shared" si="10"/>
        <v>0</v>
      </c>
      <c r="W50" s="27"/>
      <c r="X50" s="27">
        <f t="shared" si="20"/>
        <v>63902.17</v>
      </c>
      <c r="Y50" s="27">
        <f t="shared" si="21"/>
        <v>0</v>
      </c>
    </row>
    <row r="51" spans="1:25" ht="20.100000000000001" customHeight="1" outlineLevel="1" x14ac:dyDescent="0.2">
      <c r="A51" s="26" t="s">
        <v>327</v>
      </c>
      <c r="B51" s="30">
        <v>431</v>
      </c>
      <c r="C51" s="30" t="str">
        <f t="shared" si="16"/>
        <v>3</v>
      </c>
      <c r="D51" s="30" t="str">
        <f t="shared" si="17"/>
        <v>32</v>
      </c>
      <c r="E51" s="26" t="str">
        <f t="shared" si="14"/>
        <v>323</v>
      </c>
      <c r="F51" s="26" t="s">
        <v>38</v>
      </c>
      <c r="G51" s="26" t="s">
        <v>142</v>
      </c>
      <c r="H51" s="26" t="s">
        <v>40</v>
      </c>
      <c r="I51" s="27">
        <v>167000</v>
      </c>
      <c r="J51" s="27">
        <f t="shared" si="22"/>
        <v>37024.14</v>
      </c>
      <c r="K51" s="27">
        <v>129975.86</v>
      </c>
      <c r="L51" s="27">
        <v>0</v>
      </c>
      <c r="M51" s="27">
        <v>37024.14</v>
      </c>
      <c r="N51" s="27">
        <v>0</v>
      </c>
      <c r="O51" s="27">
        <v>129975.86</v>
      </c>
      <c r="P51" s="28">
        <v>0.222</v>
      </c>
      <c r="Q51" s="27">
        <f t="shared" si="18"/>
        <v>37024.14</v>
      </c>
      <c r="R51" s="27"/>
      <c r="S51" s="27">
        <f t="shared" si="19"/>
        <v>37024.14</v>
      </c>
      <c r="T51" s="27">
        <f t="shared" si="23"/>
        <v>113611.79</v>
      </c>
      <c r="U51" s="27">
        <v>113611.79</v>
      </c>
      <c r="V51" s="27">
        <f t="shared" si="10"/>
        <v>0</v>
      </c>
      <c r="W51" s="27"/>
      <c r="X51" s="27">
        <f t="shared" si="20"/>
        <v>113611.79</v>
      </c>
      <c r="Y51" s="27">
        <f t="shared" si="21"/>
        <v>0</v>
      </c>
    </row>
    <row r="52" spans="1:25" ht="20.100000000000001" customHeight="1" outlineLevel="1" x14ac:dyDescent="0.2">
      <c r="A52" s="26" t="s">
        <v>327</v>
      </c>
      <c r="B52" s="30">
        <v>431</v>
      </c>
      <c r="C52" s="30" t="str">
        <f t="shared" si="16"/>
        <v>3</v>
      </c>
      <c r="D52" s="30" t="str">
        <f t="shared" si="17"/>
        <v>32</v>
      </c>
      <c r="E52" s="26" t="str">
        <f t="shared" si="14"/>
        <v>323</v>
      </c>
      <c r="F52" s="26" t="s">
        <v>91</v>
      </c>
      <c r="G52" s="26" t="s">
        <v>143</v>
      </c>
      <c r="H52" s="26" t="s">
        <v>93</v>
      </c>
      <c r="I52" s="27">
        <v>10000</v>
      </c>
      <c r="J52" s="27">
        <f t="shared" si="22"/>
        <v>324.65999999999985</v>
      </c>
      <c r="K52" s="27">
        <v>9675.34</v>
      </c>
      <c r="L52" s="27">
        <v>0</v>
      </c>
      <c r="M52" s="27">
        <v>324.66000000000003</v>
      </c>
      <c r="N52" s="27">
        <v>0</v>
      </c>
      <c r="O52" s="27">
        <v>9675.34</v>
      </c>
      <c r="P52" s="28">
        <v>3.3000000000000002E-2</v>
      </c>
      <c r="Q52" s="27">
        <f t="shared" si="18"/>
        <v>324.65999999999985</v>
      </c>
      <c r="R52" s="27"/>
      <c r="S52" s="27">
        <f t="shared" si="19"/>
        <v>324.65999999999985</v>
      </c>
      <c r="T52" s="27">
        <f t="shared" si="23"/>
        <v>778.41</v>
      </c>
      <c r="U52" s="27">
        <v>778.41</v>
      </c>
      <c r="V52" s="27">
        <f t="shared" si="10"/>
        <v>0</v>
      </c>
      <c r="W52" s="27"/>
      <c r="X52" s="27">
        <f t="shared" si="20"/>
        <v>778.41</v>
      </c>
      <c r="Y52" s="27">
        <f t="shared" si="21"/>
        <v>0</v>
      </c>
    </row>
    <row r="53" spans="1:25" ht="20.100000000000001" customHeight="1" outlineLevel="1" x14ac:dyDescent="0.2">
      <c r="A53" s="26" t="s">
        <v>327</v>
      </c>
      <c r="B53" s="30">
        <v>431</v>
      </c>
      <c r="C53" s="30" t="str">
        <f t="shared" si="16"/>
        <v>3</v>
      </c>
      <c r="D53" s="30" t="str">
        <f t="shared" si="17"/>
        <v>32</v>
      </c>
      <c r="E53" s="26" t="str">
        <f t="shared" si="14"/>
        <v>323</v>
      </c>
      <c r="F53" s="26" t="s">
        <v>94</v>
      </c>
      <c r="G53" s="26" t="s">
        <v>144</v>
      </c>
      <c r="H53" s="26" t="s">
        <v>96</v>
      </c>
      <c r="I53" s="27">
        <v>20000</v>
      </c>
      <c r="J53" s="27">
        <f t="shared" si="22"/>
        <v>0</v>
      </c>
      <c r="K53" s="27">
        <v>20000</v>
      </c>
      <c r="L53" s="27">
        <v>0</v>
      </c>
      <c r="M53" s="27">
        <v>0</v>
      </c>
      <c r="N53" s="27">
        <v>0</v>
      </c>
      <c r="O53" s="27">
        <v>20000</v>
      </c>
      <c r="P53" s="28">
        <v>0</v>
      </c>
      <c r="Q53" s="27">
        <f t="shared" si="18"/>
        <v>0</v>
      </c>
      <c r="R53" s="27"/>
      <c r="S53" s="27">
        <f t="shared" si="19"/>
        <v>0</v>
      </c>
      <c r="T53" s="27">
        <f t="shared" si="23"/>
        <v>21849.63</v>
      </c>
      <c r="U53" s="27">
        <v>21849.63</v>
      </c>
      <c r="V53" s="27">
        <f t="shared" si="10"/>
        <v>0</v>
      </c>
      <c r="W53" s="27"/>
      <c r="X53" s="27">
        <f t="shared" si="20"/>
        <v>21849.63</v>
      </c>
      <c r="Y53" s="27">
        <f t="shared" si="21"/>
        <v>0</v>
      </c>
    </row>
    <row r="54" spans="1:25" ht="20.100000000000001" customHeight="1" outlineLevel="1" x14ac:dyDescent="0.2">
      <c r="A54" s="26" t="s">
        <v>327</v>
      </c>
      <c r="B54" s="30">
        <v>431</v>
      </c>
      <c r="C54" s="30" t="str">
        <f t="shared" si="16"/>
        <v>3</v>
      </c>
      <c r="D54" s="30" t="str">
        <f t="shared" si="17"/>
        <v>32</v>
      </c>
      <c r="E54" s="26" t="str">
        <f t="shared" si="14"/>
        <v>323</v>
      </c>
      <c r="F54" s="26" t="s">
        <v>97</v>
      </c>
      <c r="G54" s="26" t="s">
        <v>145</v>
      </c>
      <c r="H54" s="26" t="s">
        <v>99</v>
      </c>
      <c r="I54" s="27">
        <v>125000</v>
      </c>
      <c r="J54" s="27">
        <f t="shared" si="22"/>
        <v>89010.57</v>
      </c>
      <c r="K54" s="27">
        <v>35989.43</v>
      </c>
      <c r="L54" s="27">
        <v>0</v>
      </c>
      <c r="M54" s="27">
        <v>89010.57</v>
      </c>
      <c r="N54" s="27">
        <v>0</v>
      </c>
      <c r="O54" s="27">
        <v>35989.43</v>
      </c>
      <c r="P54" s="28">
        <v>0.71199999999999997</v>
      </c>
      <c r="Q54" s="27">
        <f t="shared" si="18"/>
        <v>89010.57</v>
      </c>
      <c r="R54" s="27"/>
      <c r="S54" s="27">
        <f t="shared" si="19"/>
        <v>89010.57</v>
      </c>
      <c r="T54" s="27">
        <f t="shared" si="23"/>
        <v>94981.1</v>
      </c>
      <c r="U54" s="27">
        <v>94981.1</v>
      </c>
      <c r="V54" s="27">
        <f t="shared" si="10"/>
        <v>0</v>
      </c>
      <c r="W54" s="27"/>
      <c r="X54" s="27">
        <f t="shared" si="20"/>
        <v>94981.1</v>
      </c>
      <c r="Y54" s="27">
        <f t="shared" si="21"/>
        <v>0</v>
      </c>
    </row>
    <row r="55" spans="1:25" ht="20.100000000000001" customHeight="1" outlineLevel="1" x14ac:dyDescent="0.2">
      <c r="A55" s="26" t="s">
        <v>327</v>
      </c>
      <c r="B55" s="30">
        <v>431</v>
      </c>
      <c r="C55" s="30" t="str">
        <f t="shared" si="16"/>
        <v>3</v>
      </c>
      <c r="D55" s="30" t="str">
        <f t="shared" si="17"/>
        <v>32</v>
      </c>
      <c r="E55" s="26" t="str">
        <f t="shared" si="14"/>
        <v>323</v>
      </c>
      <c r="F55" s="26" t="s">
        <v>100</v>
      </c>
      <c r="G55" s="26" t="s">
        <v>146</v>
      </c>
      <c r="H55" s="26" t="s">
        <v>102</v>
      </c>
      <c r="I55" s="27">
        <v>2000</v>
      </c>
      <c r="J55" s="27">
        <f t="shared" si="22"/>
        <v>0</v>
      </c>
      <c r="K55" s="27">
        <v>2000</v>
      </c>
      <c r="L55" s="27">
        <v>0</v>
      </c>
      <c r="M55" s="27">
        <v>0</v>
      </c>
      <c r="N55" s="27">
        <v>0</v>
      </c>
      <c r="O55" s="27">
        <v>2000</v>
      </c>
      <c r="P55" s="28">
        <v>0</v>
      </c>
      <c r="Q55" s="27">
        <f t="shared" si="18"/>
        <v>0</v>
      </c>
      <c r="R55" s="27"/>
      <c r="S55" s="27">
        <f t="shared" si="19"/>
        <v>0</v>
      </c>
      <c r="T55" s="27">
        <f t="shared" si="23"/>
        <v>468.52</v>
      </c>
      <c r="U55" s="27">
        <v>468.52</v>
      </c>
      <c r="V55" s="27">
        <f t="shared" si="10"/>
        <v>0</v>
      </c>
      <c r="W55" s="27"/>
      <c r="X55" s="27">
        <f t="shared" si="20"/>
        <v>468.52</v>
      </c>
      <c r="Y55" s="27">
        <f t="shared" si="21"/>
        <v>0</v>
      </c>
    </row>
    <row r="56" spans="1:25" ht="20.100000000000001" customHeight="1" outlineLevel="1" x14ac:dyDescent="0.2">
      <c r="A56" s="26" t="s">
        <v>327</v>
      </c>
      <c r="B56" s="30">
        <v>431</v>
      </c>
      <c r="C56" s="30" t="str">
        <f t="shared" si="16"/>
        <v>3</v>
      </c>
      <c r="D56" s="30" t="str">
        <f t="shared" si="17"/>
        <v>32</v>
      </c>
      <c r="E56" s="26" t="str">
        <f t="shared" si="14"/>
        <v>323</v>
      </c>
      <c r="F56" s="26" t="s">
        <v>41</v>
      </c>
      <c r="G56" s="26" t="s">
        <v>147</v>
      </c>
      <c r="H56" s="26" t="s">
        <v>43</v>
      </c>
      <c r="I56" s="27">
        <v>48600</v>
      </c>
      <c r="J56" s="27">
        <f t="shared" si="22"/>
        <v>14371.21</v>
      </c>
      <c r="K56" s="27">
        <v>34228.79</v>
      </c>
      <c r="L56" s="27">
        <v>0</v>
      </c>
      <c r="M56" s="27">
        <v>14371.21</v>
      </c>
      <c r="N56" s="27">
        <v>0</v>
      </c>
      <c r="O56" s="27">
        <v>34228.79</v>
      </c>
      <c r="P56" s="28">
        <v>0.29599999999999999</v>
      </c>
      <c r="Q56" s="27">
        <f t="shared" si="18"/>
        <v>14371.21</v>
      </c>
      <c r="R56" s="27"/>
      <c r="S56" s="27">
        <f t="shared" si="19"/>
        <v>14371.21</v>
      </c>
      <c r="T56" s="27">
        <f t="shared" si="23"/>
        <v>40277.14</v>
      </c>
      <c r="U56" s="27">
        <v>40277.14</v>
      </c>
      <c r="V56" s="27">
        <f t="shared" si="10"/>
        <v>0</v>
      </c>
      <c r="W56" s="27"/>
      <c r="X56" s="27">
        <f t="shared" si="20"/>
        <v>40277.14</v>
      </c>
      <c r="Y56" s="27">
        <f t="shared" si="21"/>
        <v>0</v>
      </c>
    </row>
    <row r="57" spans="1:25" ht="20.100000000000001" customHeight="1" outlineLevel="1" x14ac:dyDescent="0.2">
      <c r="A57" s="26" t="s">
        <v>327</v>
      </c>
      <c r="B57" s="30">
        <v>431</v>
      </c>
      <c r="C57" s="30" t="str">
        <f t="shared" si="16"/>
        <v>3</v>
      </c>
      <c r="D57" s="30" t="str">
        <f t="shared" si="17"/>
        <v>32</v>
      </c>
      <c r="E57" s="26" t="str">
        <f t="shared" si="14"/>
        <v>323</v>
      </c>
      <c r="F57" s="26" t="s">
        <v>104</v>
      </c>
      <c r="G57" s="26" t="s">
        <v>148</v>
      </c>
      <c r="H57" s="26" t="s">
        <v>106</v>
      </c>
      <c r="I57" s="27">
        <v>125000</v>
      </c>
      <c r="J57" s="27">
        <f t="shared" si="22"/>
        <v>38043.83</v>
      </c>
      <c r="K57" s="27">
        <v>86956.17</v>
      </c>
      <c r="L57" s="27">
        <v>0</v>
      </c>
      <c r="M57" s="27">
        <v>38043.83</v>
      </c>
      <c r="N57" s="27">
        <v>0</v>
      </c>
      <c r="O57" s="27">
        <v>86956.17</v>
      </c>
      <c r="P57" s="28">
        <v>0.30399999999999999</v>
      </c>
      <c r="Q57" s="27">
        <f t="shared" si="18"/>
        <v>38043.83</v>
      </c>
      <c r="R57" s="27"/>
      <c r="S57" s="27">
        <f t="shared" si="19"/>
        <v>38043.83</v>
      </c>
      <c r="T57" s="27">
        <f t="shared" si="23"/>
        <v>117616.62</v>
      </c>
      <c r="U57" s="27">
        <v>117616.62</v>
      </c>
      <c r="V57" s="27">
        <f t="shared" si="10"/>
        <v>0</v>
      </c>
      <c r="W57" s="27"/>
      <c r="X57" s="27">
        <f t="shared" si="20"/>
        <v>117616.62</v>
      </c>
      <c r="Y57" s="27">
        <f t="shared" si="21"/>
        <v>0</v>
      </c>
    </row>
    <row r="58" spans="1:25" ht="20.100000000000001" customHeight="1" outlineLevel="1" x14ac:dyDescent="0.2">
      <c r="A58" s="26" t="s">
        <v>327</v>
      </c>
      <c r="B58" s="30">
        <v>431</v>
      </c>
      <c r="C58" s="30" t="str">
        <f t="shared" si="16"/>
        <v>3</v>
      </c>
      <c r="D58" s="30" t="str">
        <f t="shared" si="17"/>
        <v>32</v>
      </c>
      <c r="E58" s="26" t="str">
        <f t="shared" si="14"/>
        <v>323</v>
      </c>
      <c r="F58" s="26" t="s">
        <v>126</v>
      </c>
      <c r="G58" s="26" t="s">
        <v>149</v>
      </c>
      <c r="H58" s="26" t="s">
        <v>128</v>
      </c>
      <c r="I58" s="27">
        <v>126200</v>
      </c>
      <c r="J58" s="27">
        <f t="shared" si="22"/>
        <v>55941.56</v>
      </c>
      <c r="K58" s="27">
        <v>70258.44</v>
      </c>
      <c r="L58" s="27">
        <v>0</v>
      </c>
      <c r="M58" s="27">
        <v>55941.56</v>
      </c>
      <c r="N58" s="27">
        <v>0</v>
      </c>
      <c r="O58" s="27">
        <v>70258.44</v>
      </c>
      <c r="P58" s="28">
        <v>0.443</v>
      </c>
      <c r="Q58" s="27">
        <f t="shared" si="18"/>
        <v>55941.56</v>
      </c>
      <c r="R58" s="27"/>
      <c r="S58" s="27">
        <f t="shared" si="19"/>
        <v>55941.56</v>
      </c>
      <c r="T58" s="27">
        <f t="shared" si="23"/>
        <v>152906.18</v>
      </c>
      <c r="U58" s="27">
        <v>152906.18</v>
      </c>
      <c r="V58" s="27">
        <f t="shared" si="10"/>
        <v>0</v>
      </c>
      <c r="W58" s="27"/>
      <c r="X58" s="27">
        <f t="shared" si="20"/>
        <v>152906.18</v>
      </c>
      <c r="Y58" s="27">
        <f t="shared" si="21"/>
        <v>0</v>
      </c>
    </row>
    <row r="59" spans="1:25" ht="20.100000000000001" customHeight="1" outlineLevel="1" x14ac:dyDescent="0.2">
      <c r="A59" s="26" t="s">
        <v>327</v>
      </c>
      <c r="B59" s="30">
        <v>431</v>
      </c>
      <c r="C59" s="30" t="str">
        <f t="shared" si="16"/>
        <v>3</v>
      </c>
      <c r="D59" s="30" t="str">
        <f t="shared" si="17"/>
        <v>32</v>
      </c>
      <c r="E59" s="26" t="str">
        <f t="shared" si="14"/>
        <v>324</v>
      </c>
      <c r="F59" s="26" t="s">
        <v>150</v>
      </c>
      <c r="G59" s="26" t="s">
        <v>151</v>
      </c>
      <c r="H59" s="26" t="s">
        <v>152</v>
      </c>
      <c r="I59" s="27">
        <v>500</v>
      </c>
      <c r="J59" s="27">
        <f t="shared" si="22"/>
        <v>0</v>
      </c>
      <c r="K59" s="27">
        <v>500</v>
      </c>
      <c r="L59" s="27">
        <v>0</v>
      </c>
      <c r="M59" s="27">
        <v>0</v>
      </c>
      <c r="N59" s="27">
        <v>0</v>
      </c>
      <c r="O59" s="27">
        <v>500</v>
      </c>
      <c r="P59" s="28">
        <v>0</v>
      </c>
      <c r="Q59" s="27">
        <f t="shared" si="18"/>
        <v>0</v>
      </c>
      <c r="R59" s="27"/>
      <c r="S59" s="27">
        <f t="shared" si="19"/>
        <v>0</v>
      </c>
      <c r="T59" s="27">
        <f t="shared" si="23"/>
        <v>0</v>
      </c>
      <c r="U59" s="27"/>
      <c r="V59" s="27">
        <f t="shared" si="10"/>
        <v>0</v>
      </c>
      <c r="W59" s="27"/>
      <c r="X59" s="27">
        <f t="shared" si="20"/>
        <v>0</v>
      </c>
      <c r="Y59" s="27">
        <f t="shared" si="21"/>
        <v>0</v>
      </c>
    </row>
    <row r="60" spans="1:25" ht="20.100000000000001" customHeight="1" outlineLevel="1" x14ac:dyDescent="0.2">
      <c r="A60" s="26" t="s">
        <v>327</v>
      </c>
      <c r="B60" s="30">
        <v>431</v>
      </c>
      <c r="C60" s="30" t="str">
        <f t="shared" si="16"/>
        <v>3</v>
      </c>
      <c r="D60" s="30" t="str">
        <f t="shared" si="17"/>
        <v>32</v>
      </c>
      <c r="E60" s="26" t="str">
        <f t="shared" si="14"/>
        <v>329</v>
      </c>
      <c r="F60" s="26" t="s">
        <v>110</v>
      </c>
      <c r="G60" s="26" t="s">
        <v>153</v>
      </c>
      <c r="H60" s="26" t="s">
        <v>112</v>
      </c>
      <c r="I60" s="27">
        <v>4000</v>
      </c>
      <c r="J60" s="27">
        <f t="shared" si="22"/>
        <v>2923.76</v>
      </c>
      <c r="K60" s="27">
        <v>1076.24</v>
      </c>
      <c r="L60" s="27">
        <v>0</v>
      </c>
      <c r="M60" s="27">
        <v>2923.76</v>
      </c>
      <c r="N60" s="27">
        <v>0</v>
      </c>
      <c r="O60" s="27">
        <v>1076.24</v>
      </c>
      <c r="P60" s="28">
        <v>0.73099999999999998</v>
      </c>
      <c r="Q60" s="27">
        <f t="shared" si="18"/>
        <v>2923.76</v>
      </c>
      <c r="R60" s="27"/>
      <c r="S60" s="27">
        <f t="shared" si="19"/>
        <v>2923.76</v>
      </c>
      <c r="T60" s="27">
        <f t="shared" si="23"/>
        <v>3858.64</v>
      </c>
      <c r="U60" s="27">
        <v>3858.64</v>
      </c>
      <c r="V60" s="27">
        <f t="shared" si="10"/>
        <v>0</v>
      </c>
      <c r="W60" s="27"/>
      <c r="X60" s="27">
        <f t="shared" si="20"/>
        <v>3858.64</v>
      </c>
      <c r="Y60" s="27">
        <f t="shared" si="21"/>
        <v>0</v>
      </c>
    </row>
    <row r="61" spans="1:25" ht="20.100000000000001" customHeight="1" outlineLevel="1" x14ac:dyDescent="0.2">
      <c r="A61" s="26" t="s">
        <v>327</v>
      </c>
      <c r="B61" s="30">
        <v>431</v>
      </c>
      <c r="C61" s="30" t="str">
        <f t="shared" si="16"/>
        <v>3</v>
      </c>
      <c r="D61" s="30" t="str">
        <f t="shared" si="17"/>
        <v>32</v>
      </c>
      <c r="E61" s="26" t="str">
        <f t="shared" si="14"/>
        <v>329</v>
      </c>
      <c r="F61" s="26" t="s">
        <v>154</v>
      </c>
      <c r="G61" s="26" t="s">
        <v>155</v>
      </c>
      <c r="H61" s="26" t="s">
        <v>156</v>
      </c>
      <c r="I61" s="27">
        <v>9000</v>
      </c>
      <c r="J61" s="27">
        <f t="shared" si="22"/>
        <v>6050.12</v>
      </c>
      <c r="K61" s="27">
        <v>2949.88</v>
      </c>
      <c r="L61" s="27">
        <v>0</v>
      </c>
      <c r="M61" s="27">
        <v>6050.12</v>
      </c>
      <c r="N61" s="27">
        <v>0</v>
      </c>
      <c r="O61" s="27">
        <v>2949.88</v>
      </c>
      <c r="P61" s="28">
        <v>0.67200000000000004</v>
      </c>
      <c r="Q61" s="27">
        <f t="shared" si="18"/>
        <v>6050.12</v>
      </c>
      <c r="R61" s="27"/>
      <c r="S61" s="27">
        <f t="shared" si="19"/>
        <v>6050.12</v>
      </c>
      <c r="T61" s="27">
        <f t="shared" si="23"/>
        <v>20831.82</v>
      </c>
      <c r="U61" s="27">
        <v>20831.82</v>
      </c>
      <c r="V61" s="27">
        <f t="shared" si="10"/>
        <v>0</v>
      </c>
      <c r="W61" s="27"/>
      <c r="X61" s="27">
        <f t="shared" si="20"/>
        <v>20831.82</v>
      </c>
      <c r="Y61" s="27">
        <f t="shared" si="21"/>
        <v>0</v>
      </c>
    </row>
    <row r="62" spans="1:25" ht="20.100000000000001" customHeight="1" outlineLevel="1" x14ac:dyDescent="0.2">
      <c r="A62" s="26" t="s">
        <v>327</v>
      </c>
      <c r="B62" s="30">
        <v>431</v>
      </c>
      <c r="C62" s="30" t="str">
        <f t="shared" si="16"/>
        <v>3</v>
      </c>
      <c r="D62" s="30" t="str">
        <f t="shared" si="17"/>
        <v>32</v>
      </c>
      <c r="E62" s="26" t="str">
        <f t="shared" si="14"/>
        <v>329</v>
      </c>
      <c r="F62" s="26" t="s">
        <v>113</v>
      </c>
      <c r="G62" s="26" t="s">
        <v>157</v>
      </c>
      <c r="H62" s="26" t="s">
        <v>115</v>
      </c>
      <c r="I62" s="27">
        <v>3300</v>
      </c>
      <c r="J62" s="27">
        <f t="shared" si="22"/>
        <v>2329.94</v>
      </c>
      <c r="K62" s="27">
        <v>970.06</v>
      </c>
      <c r="L62" s="27">
        <v>0</v>
      </c>
      <c r="M62" s="27">
        <v>2329.94</v>
      </c>
      <c r="N62" s="27">
        <v>0</v>
      </c>
      <c r="O62" s="27">
        <v>970.06</v>
      </c>
      <c r="P62" s="28">
        <v>0.70599999999999996</v>
      </c>
      <c r="Q62" s="27">
        <f t="shared" si="18"/>
        <v>2329.94</v>
      </c>
      <c r="R62" s="27"/>
      <c r="S62" s="27">
        <f t="shared" si="19"/>
        <v>2329.94</v>
      </c>
      <c r="T62" s="27">
        <f t="shared" si="23"/>
        <v>2984.94</v>
      </c>
      <c r="U62" s="27">
        <v>2984.94</v>
      </c>
      <c r="V62" s="27">
        <f t="shared" si="10"/>
        <v>0</v>
      </c>
      <c r="W62" s="27"/>
      <c r="X62" s="27">
        <f t="shared" si="20"/>
        <v>2984.94</v>
      </c>
      <c r="Y62" s="27">
        <f t="shared" si="21"/>
        <v>0</v>
      </c>
    </row>
    <row r="63" spans="1:25" ht="20.100000000000001" customHeight="1" outlineLevel="1" x14ac:dyDescent="0.2">
      <c r="A63" s="26" t="s">
        <v>327</v>
      </c>
      <c r="B63" s="30">
        <v>431</v>
      </c>
      <c r="C63" s="30" t="str">
        <f t="shared" si="16"/>
        <v>3</v>
      </c>
      <c r="D63" s="30" t="str">
        <f t="shared" si="17"/>
        <v>32</v>
      </c>
      <c r="E63" s="26" t="str">
        <f t="shared" si="14"/>
        <v>329</v>
      </c>
      <c r="F63" s="26" t="s">
        <v>116</v>
      </c>
      <c r="G63" s="26" t="s">
        <v>158</v>
      </c>
      <c r="H63" s="26" t="s">
        <v>118</v>
      </c>
      <c r="I63" s="27">
        <v>22500</v>
      </c>
      <c r="J63" s="27">
        <f t="shared" si="22"/>
        <v>10419.06</v>
      </c>
      <c r="K63" s="27">
        <v>12080.94</v>
      </c>
      <c r="L63" s="27">
        <v>0</v>
      </c>
      <c r="M63" s="27">
        <v>10419.06</v>
      </c>
      <c r="N63" s="27">
        <v>0</v>
      </c>
      <c r="O63" s="27">
        <v>12080.94</v>
      </c>
      <c r="P63" s="28">
        <v>0.46300000000000002</v>
      </c>
      <c r="Q63" s="27">
        <f t="shared" si="18"/>
        <v>10419.06</v>
      </c>
      <c r="R63" s="27"/>
      <c r="S63" s="27">
        <f t="shared" si="19"/>
        <v>10419.06</v>
      </c>
      <c r="T63" s="27">
        <f t="shared" si="23"/>
        <v>5838.5</v>
      </c>
      <c r="U63" s="27">
        <v>5838.5</v>
      </c>
      <c r="V63" s="27">
        <f t="shared" si="10"/>
        <v>0</v>
      </c>
      <c r="W63" s="27"/>
      <c r="X63" s="27">
        <f t="shared" si="20"/>
        <v>5838.5</v>
      </c>
      <c r="Y63" s="27">
        <f t="shared" si="21"/>
        <v>0</v>
      </c>
    </row>
    <row r="64" spans="1:25" ht="20.100000000000001" customHeight="1" outlineLevel="1" x14ac:dyDescent="0.2">
      <c r="A64" s="26" t="s">
        <v>327</v>
      </c>
      <c r="B64" s="30">
        <v>431</v>
      </c>
      <c r="C64" s="30" t="str">
        <f t="shared" si="16"/>
        <v>3</v>
      </c>
      <c r="D64" s="30" t="str">
        <f t="shared" si="17"/>
        <v>32</v>
      </c>
      <c r="E64" s="26" t="str">
        <f t="shared" si="14"/>
        <v>329</v>
      </c>
      <c r="F64" s="26" t="s">
        <v>159</v>
      </c>
      <c r="G64" s="26" t="s">
        <v>160</v>
      </c>
      <c r="H64" s="26" t="s">
        <v>161</v>
      </c>
      <c r="I64" s="27">
        <v>4000</v>
      </c>
      <c r="J64" s="27">
        <f t="shared" si="22"/>
        <v>1390.0700000000002</v>
      </c>
      <c r="K64" s="27">
        <v>2609.9299999999998</v>
      </c>
      <c r="L64" s="27">
        <v>0</v>
      </c>
      <c r="M64" s="27">
        <v>1390.07</v>
      </c>
      <c r="N64" s="27">
        <v>0</v>
      </c>
      <c r="O64" s="27">
        <v>2609.9299999999998</v>
      </c>
      <c r="P64" s="28">
        <v>0.34799999999999998</v>
      </c>
      <c r="Q64" s="27">
        <f t="shared" si="18"/>
        <v>1390.0700000000002</v>
      </c>
      <c r="R64" s="27"/>
      <c r="S64" s="27">
        <f t="shared" si="19"/>
        <v>1390.0700000000002</v>
      </c>
      <c r="T64" s="27">
        <f t="shared" si="23"/>
        <v>4723.58</v>
      </c>
      <c r="U64" s="27">
        <v>4723.58</v>
      </c>
      <c r="V64" s="27">
        <f t="shared" si="10"/>
        <v>0</v>
      </c>
      <c r="W64" s="27"/>
      <c r="X64" s="27">
        <f t="shared" si="20"/>
        <v>4723.58</v>
      </c>
      <c r="Y64" s="27">
        <f t="shared" si="21"/>
        <v>0</v>
      </c>
    </row>
    <row r="65" spans="1:28" ht="20.100000000000001" customHeight="1" outlineLevel="1" x14ac:dyDescent="0.2">
      <c r="A65" s="26" t="s">
        <v>327</v>
      </c>
      <c r="B65" s="30">
        <v>431</v>
      </c>
      <c r="C65" s="30" t="str">
        <f t="shared" si="16"/>
        <v>3</v>
      </c>
      <c r="D65" s="30" t="str">
        <f t="shared" si="17"/>
        <v>34</v>
      </c>
      <c r="E65" s="26" t="str">
        <f t="shared" si="14"/>
        <v>343</v>
      </c>
      <c r="F65" s="26" t="s">
        <v>119</v>
      </c>
      <c r="G65" s="26" t="s">
        <v>162</v>
      </c>
      <c r="H65" s="26" t="s">
        <v>121</v>
      </c>
      <c r="I65" s="27">
        <v>13600</v>
      </c>
      <c r="J65" s="27">
        <f t="shared" si="22"/>
        <v>6966.45</v>
      </c>
      <c r="K65" s="27">
        <v>6633.55</v>
      </c>
      <c r="L65" s="27">
        <v>0</v>
      </c>
      <c r="M65" s="27">
        <v>6966.45</v>
      </c>
      <c r="N65" s="27">
        <v>0</v>
      </c>
      <c r="O65" s="27">
        <v>6633.55</v>
      </c>
      <c r="P65" s="28">
        <v>0.51200000000000001</v>
      </c>
      <c r="Q65" s="27">
        <f t="shared" si="18"/>
        <v>6966.45</v>
      </c>
      <c r="R65" s="27"/>
      <c r="S65" s="27">
        <f t="shared" si="19"/>
        <v>6966.45</v>
      </c>
      <c r="T65" s="27">
        <f t="shared" si="23"/>
        <v>19637.03</v>
      </c>
      <c r="U65" s="27">
        <v>19637.03</v>
      </c>
      <c r="V65" s="27">
        <f t="shared" si="10"/>
        <v>0</v>
      </c>
      <c r="W65" s="27"/>
      <c r="X65" s="27">
        <f t="shared" si="20"/>
        <v>19637.03</v>
      </c>
      <c r="Y65" s="27">
        <f t="shared" si="21"/>
        <v>0</v>
      </c>
    </row>
    <row r="66" spans="1:28" ht="20.100000000000001" customHeight="1" outlineLevel="1" x14ac:dyDescent="0.2">
      <c r="A66" s="26" t="s">
        <v>327</v>
      </c>
      <c r="B66" s="30">
        <v>431</v>
      </c>
      <c r="C66" s="30" t="str">
        <f t="shared" si="16"/>
        <v>3</v>
      </c>
      <c r="D66" s="30" t="str">
        <f t="shared" si="17"/>
        <v>34</v>
      </c>
      <c r="E66" s="26" t="str">
        <f t="shared" si="14"/>
        <v>343</v>
      </c>
      <c r="F66" s="26" t="s">
        <v>163</v>
      </c>
      <c r="G66" s="26" t="s">
        <v>164</v>
      </c>
      <c r="H66" s="26" t="s">
        <v>165</v>
      </c>
      <c r="I66" s="27">
        <v>600</v>
      </c>
      <c r="J66" s="27">
        <f t="shared" si="22"/>
        <v>213.91000000000003</v>
      </c>
      <c r="K66" s="27">
        <v>386.09</v>
      </c>
      <c r="L66" s="27">
        <v>0</v>
      </c>
      <c r="M66" s="27">
        <v>213.91</v>
      </c>
      <c r="N66" s="27">
        <v>0</v>
      </c>
      <c r="O66" s="27">
        <v>386.09</v>
      </c>
      <c r="P66" s="28">
        <v>0.35699999999999998</v>
      </c>
      <c r="Q66" s="27">
        <f t="shared" si="18"/>
        <v>213.91000000000003</v>
      </c>
      <c r="R66" s="27"/>
      <c r="S66" s="27">
        <f t="shared" si="19"/>
        <v>213.91000000000003</v>
      </c>
      <c r="T66" s="27">
        <f t="shared" si="23"/>
        <v>637.32000000000005</v>
      </c>
      <c r="U66" s="27">
        <v>637.32000000000005</v>
      </c>
      <c r="V66" s="27">
        <f t="shared" si="10"/>
        <v>0</v>
      </c>
      <c r="W66" s="27"/>
      <c r="X66" s="27">
        <f t="shared" si="20"/>
        <v>637.32000000000005</v>
      </c>
      <c r="Y66" s="27">
        <f t="shared" si="21"/>
        <v>0</v>
      </c>
      <c r="Z66" s="38" t="s">
        <v>347</v>
      </c>
      <c r="AA66" s="38" t="s">
        <v>350</v>
      </c>
      <c r="AB66" s="38" t="s">
        <v>349</v>
      </c>
    </row>
    <row r="67" spans="1:28" ht="20.100000000000001" customHeight="1" x14ac:dyDescent="0.2">
      <c r="F67" s="216" t="s">
        <v>26</v>
      </c>
      <c r="G67" s="216"/>
      <c r="H67" s="216"/>
      <c r="I67" s="52">
        <f>SUMIFS(I68:I236,$A68:$A236,"A212401",$B68:$B236,"521")</f>
        <v>690000</v>
      </c>
      <c r="J67" s="52">
        <f t="shared" ref="J67:V67" si="24">SUMIFS(J68:J236,$A68:$A236,"A212401",$B68:$B236,"521")</f>
        <v>403155.35</v>
      </c>
      <c r="K67" s="52">
        <f t="shared" si="24"/>
        <v>286844.64999999997</v>
      </c>
      <c r="L67" s="52">
        <f t="shared" si="24"/>
        <v>0</v>
      </c>
      <c r="M67" s="52">
        <f t="shared" si="24"/>
        <v>403155.35000000003</v>
      </c>
      <c r="N67" s="52">
        <f t="shared" si="24"/>
        <v>0</v>
      </c>
      <c r="O67" s="52">
        <f t="shared" si="24"/>
        <v>286844.64999999997</v>
      </c>
      <c r="P67" s="53">
        <v>0.58399999999999996</v>
      </c>
      <c r="Q67" s="52">
        <f t="shared" si="24"/>
        <v>403155.35</v>
      </c>
      <c r="R67" s="52">
        <f t="shared" si="24"/>
        <v>0</v>
      </c>
      <c r="S67" s="52">
        <f t="shared" si="24"/>
        <v>403155.35</v>
      </c>
      <c r="T67" s="52">
        <f>SUMIFS(T68:T236,$A68:$A236,"A212401",$B68:$B236,"521")</f>
        <v>835188.62000000011</v>
      </c>
      <c r="U67" s="52">
        <f t="shared" si="24"/>
        <v>835188.62000000011</v>
      </c>
      <c r="V67" s="52">
        <f t="shared" si="24"/>
        <v>0</v>
      </c>
      <c r="W67" s="52"/>
      <c r="X67" s="52">
        <f>SUMIFS(X68:X236,$A68:$A236,"A212401",$B68:$B236,"521")</f>
        <v>835188.62000000011</v>
      </c>
      <c r="Y67" s="52">
        <f>SUMIFS(Y68:Y236,$A68:$A236,"A212401",$B68:$B236,"521")</f>
        <v>0</v>
      </c>
      <c r="Z67" s="54">
        <f>SUMIFS(Z68:Z236,$A68:$A236,"A212401",$B68:$B236,"521")</f>
        <v>178397.38999999998</v>
      </c>
      <c r="AA67" s="54">
        <f>SUMIFS(AA68:AA236,$A68:$A236,"A212401",$B68:$B236,"521")</f>
        <v>643151.68000000005</v>
      </c>
      <c r="AB67" s="54">
        <f>SUMIFS(AB68:AB236,$A68:$A236,"A212401",$B68:$B236,"521")</f>
        <v>13639.55</v>
      </c>
    </row>
    <row r="68" spans="1:28" ht="20.100000000000001" customHeight="1" outlineLevel="1" x14ac:dyDescent="0.2">
      <c r="A68" s="26" t="s">
        <v>327</v>
      </c>
      <c r="B68" s="30">
        <v>521</v>
      </c>
      <c r="C68" s="30" t="str">
        <f t="shared" ref="C68:C95" si="25">LEFT(F68,1)</f>
        <v>3</v>
      </c>
      <c r="D68" s="30" t="str">
        <f t="shared" ref="D68:D95" si="26">LEFT(F68,2)</f>
        <v>31</v>
      </c>
      <c r="E68" s="26" t="str">
        <f t="shared" si="14"/>
        <v>311</v>
      </c>
      <c r="F68" s="26" t="s">
        <v>57</v>
      </c>
      <c r="G68" s="26" t="s">
        <v>166</v>
      </c>
      <c r="H68" s="26" t="s">
        <v>59</v>
      </c>
      <c r="I68" s="27">
        <v>504200</v>
      </c>
      <c r="J68" s="27">
        <f t="shared" si="22"/>
        <v>286339.07999999996</v>
      </c>
      <c r="K68" s="27">
        <v>217860.92</v>
      </c>
      <c r="L68" s="27">
        <v>0</v>
      </c>
      <c r="M68" s="27">
        <v>286339.08</v>
      </c>
      <c r="N68" s="27">
        <v>0</v>
      </c>
      <c r="O68" s="27">
        <v>217860.92</v>
      </c>
      <c r="P68" s="28">
        <v>0.56799999999999995</v>
      </c>
      <c r="Q68" s="27">
        <f t="shared" ref="Q68:Q95" si="27">J68</f>
        <v>286339.07999999996</v>
      </c>
      <c r="R68" s="27"/>
      <c r="S68" s="27">
        <f t="shared" ref="S68:S80" si="28">R68+Q68</f>
        <v>286339.07999999996</v>
      </c>
      <c r="T68" s="27">
        <f t="shared" si="23"/>
        <v>608866.72</v>
      </c>
      <c r="U68" s="27">
        <f>Z68+AA68+AB68</f>
        <v>608866.72</v>
      </c>
      <c r="V68" s="27">
        <f t="shared" si="10"/>
        <v>0</v>
      </c>
      <c r="W68" s="27"/>
      <c r="X68" s="27">
        <f t="shared" ref="X68:X95" si="29">U68+W68</f>
        <v>608866.72</v>
      </c>
      <c r="Y68" s="27">
        <f t="shared" ref="Y68:Y95" si="30">T68-X68</f>
        <v>0</v>
      </c>
      <c r="Z68" s="27">
        <v>145951.35</v>
      </c>
      <c r="AA68" s="27">
        <v>462915.37</v>
      </c>
      <c r="AB68" s="27"/>
    </row>
    <row r="69" spans="1:28" ht="20.100000000000001" customHeight="1" outlineLevel="1" x14ac:dyDescent="0.2">
      <c r="A69" s="26" t="s">
        <v>327</v>
      </c>
      <c r="B69" s="30">
        <v>521</v>
      </c>
      <c r="C69" s="30" t="str">
        <f t="shared" si="25"/>
        <v>3</v>
      </c>
      <c r="D69" s="30" t="str">
        <f t="shared" si="26"/>
        <v>31</v>
      </c>
      <c r="E69" s="26" t="str">
        <f t="shared" si="14"/>
        <v>312</v>
      </c>
      <c r="F69" s="26" t="s">
        <v>60</v>
      </c>
      <c r="G69" s="26" t="s">
        <v>167</v>
      </c>
      <c r="H69" s="26" t="s">
        <v>62</v>
      </c>
      <c r="I69" s="27">
        <v>20000</v>
      </c>
      <c r="J69" s="27">
        <f t="shared" si="22"/>
        <v>34218.71</v>
      </c>
      <c r="K69" s="27">
        <v>-14218.71</v>
      </c>
      <c r="L69" s="27">
        <v>0</v>
      </c>
      <c r="M69" s="27">
        <v>34218.71</v>
      </c>
      <c r="N69" s="27">
        <v>0</v>
      </c>
      <c r="O69" s="27">
        <v>-14218.71</v>
      </c>
      <c r="P69" s="28">
        <v>1.7110000000000001</v>
      </c>
      <c r="Q69" s="27">
        <f t="shared" si="27"/>
        <v>34218.71</v>
      </c>
      <c r="R69" s="27"/>
      <c r="S69" s="27">
        <f t="shared" si="28"/>
        <v>34218.71</v>
      </c>
      <c r="T69" s="27">
        <f t="shared" si="23"/>
        <v>53176.68</v>
      </c>
      <c r="U69" s="27">
        <f t="shared" ref="U69:U95" si="31">Z69+AA69+AB69</f>
        <v>53176.68</v>
      </c>
      <c r="V69" s="27">
        <f t="shared" si="10"/>
        <v>0</v>
      </c>
      <c r="W69" s="27"/>
      <c r="X69" s="27">
        <f t="shared" si="29"/>
        <v>53176.68</v>
      </c>
      <c r="Y69" s="27">
        <f t="shared" si="30"/>
        <v>0</v>
      </c>
      <c r="Z69" s="27">
        <v>3529.36</v>
      </c>
      <c r="AA69" s="27">
        <v>49647.32</v>
      </c>
      <c r="AB69" s="27"/>
    </row>
    <row r="70" spans="1:28" ht="20.100000000000001" customHeight="1" outlineLevel="1" x14ac:dyDescent="0.2">
      <c r="A70" s="26" t="s">
        <v>327</v>
      </c>
      <c r="B70" s="30">
        <v>521</v>
      </c>
      <c r="C70" s="30" t="str">
        <f t="shared" si="25"/>
        <v>3</v>
      </c>
      <c r="D70" s="30" t="str">
        <f t="shared" si="26"/>
        <v>31</v>
      </c>
      <c r="E70" s="26" t="str">
        <f t="shared" si="14"/>
        <v>313</v>
      </c>
      <c r="F70" s="26" t="s">
        <v>63</v>
      </c>
      <c r="G70" s="26" t="s">
        <v>168</v>
      </c>
      <c r="H70" s="26" t="s">
        <v>65</v>
      </c>
      <c r="I70" s="27">
        <v>80300</v>
      </c>
      <c r="J70" s="27">
        <f t="shared" si="22"/>
        <v>48276.130000000005</v>
      </c>
      <c r="K70" s="27">
        <v>32023.87</v>
      </c>
      <c r="L70" s="27">
        <v>0</v>
      </c>
      <c r="M70" s="27">
        <v>48276.13</v>
      </c>
      <c r="N70" s="27">
        <v>0</v>
      </c>
      <c r="O70" s="27">
        <v>32023.87</v>
      </c>
      <c r="P70" s="28">
        <v>0.60099999999999998</v>
      </c>
      <c r="Q70" s="27">
        <f t="shared" si="27"/>
        <v>48276.130000000005</v>
      </c>
      <c r="R70" s="27"/>
      <c r="S70" s="27">
        <f t="shared" si="28"/>
        <v>48276.130000000005</v>
      </c>
      <c r="T70" s="27">
        <f t="shared" si="23"/>
        <v>99000.89</v>
      </c>
      <c r="U70" s="27">
        <f t="shared" si="31"/>
        <v>99000.89</v>
      </c>
      <c r="V70" s="27">
        <f t="shared" si="10"/>
        <v>0</v>
      </c>
      <c r="W70" s="27"/>
      <c r="X70" s="27">
        <f t="shared" si="29"/>
        <v>99000.89</v>
      </c>
      <c r="Y70" s="27">
        <f t="shared" si="30"/>
        <v>0</v>
      </c>
      <c r="Z70" s="27">
        <v>19844.830000000002</v>
      </c>
      <c r="AA70" s="27">
        <v>79156.06</v>
      </c>
      <c r="AB70" s="27"/>
    </row>
    <row r="71" spans="1:28" ht="20.100000000000001" customHeight="1" outlineLevel="1" x14ac:dyDescent="0.2">
      <c r="A71" s="26" t="s">
        <v>327</v>
      </c>
      <c r="B71" s="30">
        <v>521</v>
      </c>
      <c r="C71" s="30" t="str">
        <f t="shared" si="25"/>
        <v>3</v>
      </c>
      <c r="D71" s="30" t="str">
        <f t="shared" si="26"/>
        <v>32</v>
      </c>
      <c r="E71" s="26" t="str">
        <f t="shared" si="14"/>
        <v>321</v>
      </c>
      <c r="F71" s="26" t="s">
        <v>130</v>
      </c>
      <c r="G71" s="26" t="s">
        <v>169</v>
      </c>
      <c r="H71" s="26" t="s">
        <v>132</v>
      </c>
      <c r="I71" s="27">
        <v>1600</v>
      </c>
      <c r="J71" s="27">
        <f t="shared" si="22"/>
        <v>812</v>
      </c>
      <c r="K71" s="27">
        <v>788</v>
      </c>
      <c r="L71" s="27">
        <v>0</v>
      </c>
      <c r="M71" s="27">
        <v>812</v>
      </c>
      <c r="N71" s="27">
        <v>0</v>
      </c>
      <c r="O71" s="27">
        <v>788</v>
      </c>
      <c r="P71" s="28">
        <v>0.50800000000000001</v>
      </c>
      <c r="Q71" s="27">
        <f t="shared" si="27"/>
        <v>812</v>
      </c>
      <c r="R71" s="27"/>
      <c r="S71" s="27">
        <f t="shared" si="28"/>
        <v>812</v>
      </c>
      <c r="T71" s="27">
        <f t="shared" si="23"/>
        <v>2373.48</v>
      </c>
      <c r="U71" s="27">
        <f t="shared" si="31"/>
        <v>2373.48</v>
      </c>
      <c r="V71" s="27">
        <f t="shared" si="10"/>
        <v>0</v>
      </c>
      <c r="W71" s="27"/>
      <c r="X71" s="27">
        <f t="shared" si="29"/>
        <v>2373.48</v>
      </c>
      <c r="Y71" s="27">
        <f t="shared" si="30"/>
        <v>0</v>
      </c>
      <c r="Z71" s="27">
        <v>2373.48</v>
      </c>
      <c r="AA71" s="27"/>
      <c r="AB71" s="27"/>
    </row>
    <row r="72" spans="1:28" ht="20.100000000000001" customHeight="1" outlineLevel="1" x14ac:dyDescent="0.2">
      <c r="A72" s="26" t="s">
        <v>327</v>
      </c>
      <c r="B72" s="30">
        <v>521</v>
      </c>
      <c r="C72" s="30" t="str">
        <f t="shared" si="25"/>
        <v>3</v>
      </c>
      <c r="D72" s="30" t="str">
        <f t="shared" si="26"/>
        <v>32</v>
      </c>
      <c r="E72" s="26" t="str">
        <f t="shared" si="14"/>
        <v>321</v>
      </c>
      <c r="F72" s="26" t="s">
        <v>66</v>
      </c>
      <c r="G72" s="26" t="s">
        <v>170</v>
      </c>
      <c r="H72" s="26" t="s">
        <v>68</v>
      </c>
      <c r="I72" s="27">
        <v>12600</v>
      </c>
      <c r="J72" s="27">
        <f t="shared" si="22"/>
        <v>6085.38</v>
      </c>
      <c r="K72" s="27">
        <v>6514.62</v>
      </c>
      <c r="L72" s="27">
        <v>0</v>
      </c>
      <c r="M72" s="27">
        <v>6085.38</v>
      </c>
      <c r="N72" s="27">
        <v>0</v>
      </c>
      <c r="O72" s="27">
        <v>6514.62</v>
      </c>
      <c r="P72" s="28">
        <v>0.48299999999999998</v>
      </c>
      <c r="Q72" s="27">
        <f t="shared" si="27"/>
        <v>6085.38</v>
      </c>
      <c r="R72" s="27"/>
      <c r="S72" s="27">
        <f t="shared" si="28"/>
        <v>6085.38</v>
      </c>
      <c r="T72" s="27">
        <f t="shared" si="23"/>
        <v>12083.18</v>
      </c>
      <c r="U72" s="27">
        <f t="shared" si="31"/>
        <v>12083.18</v>
      </c>
      <c r="V72" s="27">
        <f t="shared" si="10"/>
        <v>0</v>
      </c>
      <c r="W72" s="27"/>
      <c r="X72" s="27">
        <f t="shared" si="29"/>
        <v>12083.18</v>
      </c>
      <c r="Y72" s="27">
        <f t="shared" si="30"/>
        <v>0</v>
      </c>
      <c r="Z72" s="27">
        <v>2463.36</v>
      </c>
      <c r="AA72" s="27">
        <v>9619.82</v>
      </c>
      <c r="AB72" s="27"/>
    </row>
    <row r="73" spans="1:28" ht="20.100000000000001" customHeight="1" outlineLevel="1" x14ac:dyDescent="0.2">
      <c r="A73" s="26" t="s">
        <v>327</v>
      </c>
      <c r="B73" s="30">
        <v>521</v>
      </c>
      <c r="C73" s="30" t="str">
        <f t="shared" si="25"/>
        <v>3</v>
      </c>
      <c r="D73" s="30" t="str">
        <f t="shared" si="26"/>
        <v>32</v>
      </c>
      <c r="E73" s="26" t="str">
        <f t="shared" si="14"/>
        <v>321</v>
      </c>
      <c r="F73" s="26" t="s">
        <v>69</v>
      </c>
      <c r="G73" s="26" t="s">
        <v>171</v>
      </c>
      <c r="H73" s="26" t="s">
        <v>71</v>
      </c>
      <c r="I73" s="27">
        <v>600</v>
      </c>
      <c r="J73" s="27">
        <f t="shared" si="22"/>
        <v>0</v>
      </c>
      <c r="K73" s="27">
        <v>600</v>
      </c>
      <c r="L73" s="27">
        <v>0</v>
      </c>
      <c r="M73" s="27">
        <v>0</v>
      </c>
      <c r="N73" s="27">
        <v>0</v>
      </c>
      <c r="O73" s="27">
        <v>600</v>
      </c>
      <c r="P73" s="28">
        <v>0</v>
      </c>
      <c r="Q73" s="27">
        <f t="shared" si="27"/>
        <v>0</v>
      </c>
      <c r="R73" s="27"/>
      <c r="S73" s="27">
        <f t="shared" si="28"/>
        <v>0</v>
      </c>
      <c r="T73" s="27">
        <f t="shared" si="23"/>
        <v>753.75</v>
      </c>
      <c r="U73" s="27">
        <f t="shared" si="31"/>
        <v>753.75</v>
      </c>
      <c r="V73" s="27">
        <f t="shared" si="10"/>
        <v>0</v>
      </c>
      <c r="W73" s="27"/>
      <c r="X73" s="27">
        <f t="shared" si="29"/>
        <v>753.75</v>
      </c>
      <c r="Y73" s="27">
        <f t="shared" si="30"/>
        <v>0</v>
      </c>
      <c r="Z73" s="27">
        <v>753.75</v>
      </c>
      <c r="AA73" s="27"/>
      <c r="AB73" s="27"/>
    </row>
    <row r="74" spans="1:28" ht="20.100000000000001" customHeight="1" outlineLevel="1" x14ac:dyDescent="0.2">
      <c r="A74" s="26" t="s">
        <v>327</v>
      </c>
      <c r="B74" s="30">
        <v>521</v>
      </c>
      <c r="C74" s="30" t="str">
        <f t="shared" si="25"/>
        <v>3</v>
      </c>
      <c r="D74" s="30" t="str">
        <f t="shared" si="26"/>
        <v>32</v>
      </c>
      <c r="E74" s="26" t="str">
        <f t="shared" si="14"/>
        <v>321</v>
      </c>
      <c r="F74" s="26" t="s">
        <v>172</v>
      </c>
      <c r="G74" s="26" t="s">
        <v>173</v>
      </c>
      <c r="H74" s="26" t="s">
        <v>174</v>
      </c>
      <c r="I74" s="27">
        <v>1000</v>
      </c>
      <c r="J74" s="27">
        <f t="shared" si="22"/>
        <v>476</v>
      </c>
      <c r="K74" s="27">
        <v>524</v>
      </c>
      <c r="L74" s="27">
        <v>0</v>
      </c>
      <c r="M74" s="27">
        <v>476</v>
      </c>
      <c r="N74" s="27">
        <v>0</v>
      </c>
      <c r="O74" s="27">
        <v>524</v>
      </c>
      <c r="P74" s="28">
        <v>0.47599999999999998</v>
      </c>
      <c r="Q74" s="27">
        <f t="shared" si="27"/>
        <v>476</v>
      </c>
      <c r="R74" s="27"/>
      <c r="S74" s="27">
        <f t="shared" si="28"/>
        <v>476</v>
      </c>
      <c r="T74" s="27">
        <f t="shared" si="23"/>
        <v>829.5</v>
      </c>
      <c r="U74" s="27">
        <f t="shared" si="31"/>
        <v>829.5</v>
      </c>
      <c r="V74" s="27">
        <f t="shared" si="10"/>
        <v>0</v>
      </c>
      <c r="W74" s="27"/>
      <c r="X74" s="27">
        <f t="shared" si="29"/>
        <v>829.5</v>
      </c>
      <c r="Y74" s="27">
        <f t="shared" si="30"/>
        <v>0</v>
      </c>
      <c r="Z74" s="27">
        <v>829.5</v>
      </c>
      <c r="AA74" s="27"/>
      <c r="AB74" s="27"/>
    </row>
    <row r="75" spans="1:28" ht="20.100000000000001" customHeight="1" outlineLevel="1" x14ac:dyDescent="0.2">
      <c r="A75" s="26" t="s">
        <v>327</v>
      </c>
      <c r="B75" s="30">
        <v>521</v>
      </c>
      <c r="C75" s="30" t="str">
        <f t="shared" si="25"/>
        <v>3</v>
      </c>
      <c r="D75" s="30" t="str">
        <f t="shared" si="26"/>
        <v>32</v>
      </c>
      <c r="E75" s="26" t="str">
        <f t="shared" si="14"/>
        <v>322</v>
      </c>
      <c r="F75" s="26" t="s">
        <v>72</v>
      </c>
      <c r="G75" s="26" t="s">
        <v>175</v>
      </c>
      <c r="H75" s="26" t="s">
        <v>74</v>
      </c>
      <c r="I75" s="27">
        <v>1900</v>
      </c>
      <c r="J75" s="27">
        <f t="shared" si="22"/>
        <v>1304</v>
      </c>
      <c r="K75" s="27">
        <v>596</v>
      </c>
      <c r="L75" s="27">
        <v>0</v>
      </c>
      <c r="M75" s="27">
        <v>1304</v>
      </c>
      <c r="N75" s="27">
        <v>0</v>
      </c>
      <c r="O75" s="27">
        <v>596</v>
      </c>
      <c r="P75" s="28">
        <v>0.68600000000000005</v>
      </c>
      <c r="Q75" s="27">
        <f t="shared" si="27"/>
        <v>1304</v>
      </c>
      <c r="R75" s="27"/>
      <c r="S75" s="27">
        <f t="shared" si="28"/>
        <v>1304</v>
      </c>
      <c r="T75" s="27">
        <f t="shared" si="23"/>
        <v>2334.77</v>
      </c>
      <c r="U75" s="27">
        <f t="shared" si="31"/>
        <v>2334.77</v>
      </c>
      <c r="V75" s="27">
        <f t="shared" si="10"/>
        <v>0</v>
      </c>
      <c r="W75" s="27"/>
      <c r="X75" s="27">
        <f t="shared" si="29"/>
        <v>2334.77</v>
      </c>
      <c r="Y75" s="27">
        <f t="shared" si="30"/>
        <v>0</v>
      </c>
      <c r="Z75" s="27">
        <v>578.17999999999995</v>
      </c>
      <c r="AA75" s="27">
        <v>1756.59</v>
      </c>
      <c r="AB75" s="27"/>
    </row>
    <row r="76" spans="1:28" ht="20.100000000000001" customHeight="1" outlineLevel="1" x14ac:dyDescent="0.2">
      <c r="A76" s="26" t="s">
        <v>327</v>
      </c>
      <c r="B76" s="30">
        <v>521</v>
      </c>
      <c r="C76" s="30" t="str">
        <f t="shared" si="25"/>
        <v>3</v>
      </c>
      <c r="D76" s="30" t="str">
        <f t="shared" si="26"/>
        <v>32</v>
      </c>
      <c r="E76" s="26" t="str">
        <f t="shared" si="14"/>
        <v>322</v>
      </c>
      <c r="F76" s="26" t="s">
        <v>75</v>
      </c>
      <c r="G76" s="26" t="s">
        <v>176</v>
      </c>
      <c r="H76" s="26" t="s">
        <v>77</v>
      </c>
      <c r="I76" s="27">
        <v>1300</v>
      </c>
      <c r="J76" s="27">
        <f t="shared" si="22"/>
        <v>767.16</v>
      </c>
      <c r="K76" s="27">
        <v>532.84</v>
      </c>
      <c r="L76" s="27">
        <v>0</v>
      </c>
      <c r="M76" s="27">
        <v>767.16</v>
      </c>
      <c r="N76" s="27">
        <v>0</v>
      </c>
      <c r="O76" s="27">
        <v>532.84</v>
      </c>
      <c r="P76" s="28">
        <v>0.59</v>
      </c>
      <c r="Q76" s="27">
        <f t="shared" si="27"/>
        <v>767.16</v>
      </c>
      <c r="R76" s="27"/>
      <c r="S76" s="27">
        <f t="shared" si="28"/>
        <v>767.16</v>
      </c>
      <c r="T76" s="27">
        <f t="shared" si="23"/>
        <v>1177.73</v>
      </c>
      <c r="U76" s="27">
        <f t="shared" si="31"/>
        <v>1177.73</v>
      </c>
      <c r="V76" s="27">
        <f t="shared" si="10"/>
        <v>0</v>
      </c>
      <c r="W76" s="27"/>
      <c r="X76" s="27">
        <f t="shared" si="29"/>
        <v>1177.73</v>
      </c>
      <c r="Y76" s="27">
        <f t="shared" si="30"/>
        <v>0</v>
      </c>
      <c r="Z76" s="27">
        <v>11.93</v>
      </c>
      <c r="AA76" s="27">
        <v>1165.8</v>
      </c>
      <c r="AB76" s="27"/>
    </row>
    <row r="77" spans="1:28" ht="20.100000000000001" customHeight="1" outlineLevel="1" x14ac:dyDescent="0.2">
      <c r="A77" s="26" t="s">
        <v>327</v>
      </c>
      <c r="B77" s="30">
        <v>521</v>
      </c>
      <c r="C77" s="30" t="str">
        <f t="shared" si="25"/>
        <v>3</v>
      </c>
      <c r="D77" s="30" t="str">
        <f t="shared" si="26"/>
        <v>32</v>
      </c>
      <c r="E77" s="26" t="str">
        <f t="shared" si="14"/>
        <v>322</v>
      </c>
      <c r="F77" s="26" t="s">
        <v>78</v>
      </c>
      <c r="G77" s="26" t="s">
        <v>177</v>
      </c>
      <c r="H77" s="26" t="s">
        <v>80</v>
      </c>
      <c r="I77" s="27">
        <v>12000</v>
      </c>
      <c r="J77" s="27">
        <f t="shared" si="22"/>
        <v>6576.97</v>
      </c>
      <c r="K77" s="27">
        <v>5423.03</v>
      </c>
      <c r="L77" s="27">
        <v>0</v>
      </c>
      <c r="M77" s="27">
        <v>6576.97</v>
      </c>
      <c r="N77" s="27">
        <v>0</v>
      </c>
      <c r="O77" s="27">
        <v>5423.03</v>
      </c>
      <c r="P77" s="28">
        <v>0.54800000000000004</v>
      </c>
      <c r="Q77" s="27">
        <f t="shared" si="27"/>
        <v>6576.97</v>
      </c>
      <c r="R77" s="27"/>
      <c r="S77" s="27">
        <f t="shared" si="28"/>
        <v>6576.97</v>
      </c>
      <c r="T77" s="27">
        <f t="shared" si="23"/>
        <v>11589.33</v>
      </c>
      <c r="U77" s="27">
        <f t="shared" si="31"/>
        <v>11589.33</v>
      </c>
      <c r="V77" s="27">
        <f t="shared" si="10"/>
        <v>0</v>
      </c>
      <c r="W77" s="27"/>
      <c r="X77" s="27">
        <f t="shared" si="29"/>
        <v>11589.33</v>
      </c>
      <c r="Y77" s="27">
        <f t="shared" si="30"/>
        <v>0</v>
      </c>
      <c r="Z77" s="27"/>
      <c r="AA77" s="27">
        <v>11589.33</v>
      </c>
      <c r="AB77" s="27"/>
    </row>
    <row r="78" spans="1:28" ht="20.100000000000001" customHeight="1" outlineLevel="1" x14ac:dyDescent="0.2">
      <c r="A78" s="26" t="s">
        <v>327</v>
      </c>
      <c r="B78" s="30">
        <v>521</v>
      </c>
      <c r="C78" s="30" t="str">
        <f t="shared" si="25"/>
        <v>3</v>
      </c>
      <c r="D78" s="30" t="str">
        <f t="shared" si="26"/>
        <v>32</v>
      </c>
      <c r="E78" s="26" t="str">
        <f t="shared" si="14"/>
        <v>322</v>
      </c>
      <c r="F78" s="26" t="s">
        <v>81</v>
      </c>
      <c r="G78" s="26" t="s">
        <v>178</v>
      </c>
      <c r="H78" s="26" t="s">
        <v>83</v>
      </c>
      <c r="I78" s="27">
        <v>100</v>
      </c>
      <c r="J78" s="27">
        <f t="shared" si="22"/>
        <v>0</v>
      </c>
      <c r="K78" s="27">
        <v>100</v>
      </c>
      <c r="L78" s="27">
        <v>0</v>
      </c>
      <c r="M78" s="27">
        <v>0</v>
      </c>
      <c r="N78" s="27">
        <v>0</v>
      </c>
      <c r="O78" s="27">
        <v>100</v>
      </c>
      <c r="P78" s="28">
        <v>0</v>
      </c>
      <c r="Q78" s="27">
        <f t="shared" si="27"/>
        <v>0</v>
      </c>
      <c r="R78" s="27"/>
      <c r="S78" s="27">
        <f t="shared" si="28"/>
        <v>0</v>
      </c>
      <c r="T78" s="27">
        <f t="shared" si="23"/>
        <v>1121.22</v>
      </c>
      <c r="U78" s="27">
        <f t="shared" si="31"/>
        <v>1121.22</v>
      </c>
      <c r="V78" s="27">
        <f t="shared" si="10"/>
        <v>0</v>
      </c>
      <c r="W78" s="27"/>
      <c r="X78" s="27">
        <f t="shared" si="29"/>
        <v>1121.22</v>
      </c>
      <c r="Y78" s="27">
        <f t="shared" si="30"/>
        <v>0</v>
      </c>
      <c r="Z78" s="27"/>
      <c r="AA78" s="27">
        <v>1053.1400000000001</v>
      </c>
      <c r="AB78" s="27">
        <v>68.08</v>
      </c>
    </row>
    <row r="79" spans="1:28" ht="20.100000000000001" customHeight="1" outlineLevel="1" x14ac:dyDescent="0.2">
      <c r="A79" s="26" t="s">
        <v>327</v>
      </c>
      <c r="B79" s="30">
        <v>521</v>
      </c>
      <c r="C79" s="30" t="str">
        <f t="shared" si="25"/>
        <v>3</v>
      </c>
      <c r="D79" s="30" t="str">
        <f t="shared" si="26"/>
        <v>32</v>
      </c>
      <c r="E79" s="26" t="str">
        <f t="shared" si="14"/>
        <v>322</v>
      </c>
      <c r="F79" s="26" t="s">
        <v>84</v>
      </c>
      <c r="G79" s="26" t="s">
        <v>179</v>
      </c>
      <c r="H79" s="26" t="s">
        <v>86</v>
      </c>
      <c r="I79" s="27">
        <v>1300</v>
      </c>
      <c r="J79" s="27">
        <f t="shared" si="22"/>
        <v>0</v>
      </c>
      <c r="K79" s="27">
        <v>1300</v>
      </c>
      <c r="L79" s="27">
        <v>0</v>
      </c>
      <c r="M79" s="27">
        <v>0</v>
      </c>
      <c r="N79" s="27">
        <v>0</v>
      </c>
      <c r="O79" s="27">
        <v>1300</v>
      </c>
      <c r="P79" s="28">
        <v>0</v>
      </c>
      <c r="Q79" s="27">
        <f t="shared" si="27"/>
        <v>0</v>
      </c>
      <c r="R79" s="27"/>
      <c r="S79" s="27">
        <f t="shared" si="28"/>
        <v>0</v>
      </c>
      <c r="T79" s="27">
        <f t="shared" si="23"/>
        <v>697.75</v>
      </c>
      <c r="U79" s="27">
        <f t="shared" si="31"/>
        <v>697.75</v>
      </c>
      <c r="V79" s="27">
        <f t="shared" ref="V79:V111" si="32">T79-U79</f>
        <v>0</v>
      </c>
      <c r="W79" s="27"/>
      <c r="X79" s="27">
        <f t="shared" si="29"/>
        <v>697.75</v>
      </c>
      <c r="Y79" s="27">
        <f t="shared" si="30"/>
        <v>0</v>
      </c>
      <c r="Z79" s="27"/>
      <c r="AA79" s="27">
        <v>697.75</v>
      </c>
      <c r="AB79" s="27"/>
    </row>
    <row r="80" spans="1:28" ht="20.100000000000001" customHeight="1" outlineLevel="1" x14ac:dyDescent="0.2">
      <c r="A80" s="26" t="s">
        <v>327</v>
      </c>
      <c r="B80" s="30">
        <v>521</v>
      </c>
      <c r="C80" s="30" t="str">
        <f t="shared" si="25"/>
        <v>3</v>
      </c>
      <c r="D80" s="30" t="str">
        <f t="shared" si="26"/>
        <v>32</v>
      </c>
      <c r="E80" s="26" t="str">
        <f t="shared" si="14"/>
        <v>322</v>
      </c>
      <c r="F80" s="26" t="s">
        <v>138</v>
      </c>
      <c r="G80" s="26" t="s">
        <v>180</v>
      </c>
      <c r="H80" s="26" t="s">
        <v>140</v>
      </c>
      <c r="I80" s="27">
        <v>200</v>
      </c>
      <c r="J80" s="27">
        <f t="shared" si="22"/>
        <v>0</v>
      </c>
      <c r="K80" s="27">
        <v>200</v>
      </c>
      <c r="L80" s="27">
        <v>0</v>
      </c>
      <c r="M80" s="27">
        <v>0</v>
      </c>
      <c r="N80" s="27">
        <v>0</v>
      </c>
      <c r="O80" s="27">
        <v>200</v>
      </c>
      <c r="P80" s="28">
        <v>0</v>
      </c>
      <c r="Q80" s="27">
        <f t="shared" si="27"/>
        <v>0</v>
      </c>
      <c r="R80" s="27"/>
      <c r="S80" s="27">
        <f t="shared" si="28"/>
        <v>0</v>
      </c>
      <c r="T80" s="27">
        <f t="shared" si="23"/>
        <v>0</v>
      </c>
      <c r="U80" s="27">
        <f t="shared" si="31"/>
        <v>0</v>
      </c>
      <c r="V80" s="27">
        <f t="shared" si="32"/>
        <v>0</v>
      </c>
      <c r="W80" s="27"/>
      <c r="X80" s="27">
        <f t="shared" si="29"/>
        <v>0</v>
      </c>
      <c r="Y80" s="27">
        <f t="shared" si="30"/>
        <v>0</v>
      </c>
      <c r="Z80" s="27"/>
      <c r="AA80" s="27"/>
      <c r="AB80" s="27"/>
    </row>
    <row r="81" spans="1:28" ht="20.100000000000001" customHeight="1" outlineLevel="1" x14ac:dyDescent="0.2">
      <c r="A81" s="26" t="s">
        <v>327</v>
      </c>
      <c r="B81" s="30">
        <v>521</v>
      </c>
      <c r="C81" s="30" t="str">
        <f t="shared" si="25"/>
        <v>3</v>
      </c>
      <c r="D81" s="30" t="str">
        <f t="shared" si="26"/>
        <v>32</v>
      </c>
      <c r="E81" s="26" t="str">
        <f t="shared" si="14"/>
        <v>323</v>
      </c>
      <c r="F81" s="26" t="s">
        <v>87</v>
      </c>
      <c r="G81" s="26" t="s">
        <v>181</v>
      </c>
      <c r="H81" s="26" t="s">
        <v>89</v>
      </c>
      <c r="I81" s="27">
        <v>4000</v>
      </c>
      <c r="J81" s="27">
        <f t="shared" si="22"/>
        <v>572.13000000000011</v>
      </c>
      <c r="K81" s="27">
        <v>3427.87</v>
      </c>
      <c r="L81" s="27">
        <v>0</v>
      </c>
      <c r="M81" s="27">
        <v>572.13</v>
      </c>
      <c r="N81" s="27">
        <v>0</v>
      </c>
      <c r="O81" s="27">
        <v>3427.87</v>
      </c>
      <c r="P81" s="28">
        <v>0.14299999999999999</v>
      </c>
      <c r="Q81" s="27">
        <f t="shared" si="27"/>
        <v>572.13000000000011</v>
      </c>
      <c r="R81" s="27"/>
      <c r="S81" s="27">
        <f t="shared" ref="S81:S95" si="33">R81+Q81</f>
        <v>572.13000000000011</v>
      </c>
      <c r="T81" s="27">
        <f t="shared" si="23"/>
        <v>2336.14</v>
      </c>
      <c r="U81" s="27">
        <f t="shared" si="31"/>
        <v>2336.14</v>
      </c>
      <c r="V81" s="27">
        <f t="shared" si="32"/>
        <v>0</v>
      </c>
      <c r="W81" s="27"/>
      <c r="X81" s="27">
        <f t="shared" si="29"/>
        <v>2336.14</v>
      </c>
      <c r="Y81" s="27">
        <f t="shared" si="30"/>
        <v>0</v>
      </c>
      <c r="Z81" s="27">
        <v>61.67</v>
      </c>
      <c r="AA81" s="27">
        <v>2274.4699999999998</v>
      </c>
      <c r="AB81" s="27"/>
    </row>
    <row r="82" spans="1:28" ht="20.100000000000001" customHeight="1" outlineLevel="1" x14ac:dyDescent="0.2">
      <c r="A82" s="26" t="s">
        <v>327</v>
      </c>
      <c r="B82" s="30">
        <v>521</v>
      </c>
      <c r="C82" s="30" t="str">
        <f t="shared" si="25"/>
        <v>3</v>
      </c>
      <c r="D82" s="30" t="str">
        <f t="shared" si="26"/>
        <v>32</v>
      </c>
      <c r="E82" s="26" t="str">
        <f t="shared" si="14"/>
        <v>323</v>
      </c>
      <c r="F82" s="26" t="s">
        <v>38</v>
      </c>
      <c r="G82" s="26" t="s">
        <v>182</v>
      </c>
      <c r="H82" s="26" t="s">
        <v>40</v>
      </c>
      <c r="I82" s="27">
        <v>22300</v>
      </c>
      <c r="J82" s="27">
        <f t="shared" si="22"/>
        <v>7692.5499999999993</v>
      </c>
      <c r="K82" s="27">
        <v>14607.45</v>
      </c>
      <c r="L82" s="27">
        <v>0</v>
      </c>
      <c r="M82" s="27">
        <v>7692.55</v>
      </c>
      <c r="N82" s="27">
        <v>0</v>
      </c>
      <c r="O82" s="27">
        <v>14607.45</v>
      </c>
      <c r="P82" s="28">
        <v>0.34499999999999997</v>
      </c>
      <c r="Q82" s="27">
        <f t="shared" si="27"/>
        <v>7692.5499999999993</v>
      </c>
      <c r="R82" s="27"/>
      <c r="S82" s="27">
        <f t="shared" si="33"/>
        <v>7692.5499999999993</v>
      </c>
      <c r="T82" s="27">
        <f t="shared" si="23"/>
        <v>16693.419999999998</v>
      </c>
      <c r="U82" s="27">
        <f t="shared" si="31"/>
        <v>16693.419999999998</v>
      </c>
      <c r="V82" s="27">
        <f t="shared" si="32"/>
        <v>0</v>
      </c>
      <c r="W82" s="27"/>
      <c r="X82" s="27">
        <f t="shared" si="29"/>
        <v>16693.419999999998</v>
      </c>
      <c r="Y82" s="27">
        <f t="shared" si="30"/>
        <v>0</v>
      </c>
      <c r="Z82" s="27"/>
      <c r="AA82" s="27">
        <v>7921.78</v>
      </c>
      <c r="AB82" s="27">
        <v>8771.64</v>
      </c>
    </row>
    <row r="83" spans="1:28" ht="20.100000000000001" customHeight="1" outlineLevel="1" x14ac:dyDescent="0.2">
      <c r="A83" s="26" t="s">
        <v>327</v>
      </c>
      <c r="B83" s="30">
        <v>521</v>
      </c>
      <c r="C83" s="30" t="str">
        <f t="shared" si="25"/>
        <v>3</v>
      </c>
      <c r="D83" s="30" t="str">
        <f t="shared" si="26"/>
        <v>32</v>
      </c>
      <c r="E83" s="26" t="str">
        <f t="shared" si="14"/>
        <v>323</v>
      </c>
      <c r="F83" s="26" t="s">
        <v>94</v>
      </c>
      <c r="G83" s="26" t="s">
        <v>183</v>
      </c>
      <c r="H83" s="26" t="s">
        <v>96</v>
      </c>
      <c r="I83" s="27">
        <v>8700</v>
      </c>
      <c r="J83" s="27">
        <f t="shared" si="22"/>
        <v>3922.71</v>
      </c>
      <c r="K83" s="27">
        <v>4777.29</v>
      </c>
      <c r="L83" s="27">
        <v>0</v>
      </c>
      <c r="M83" s="27">
        <v>3922.71</v>
      </c>
      <c r="N83" s="27">
        <v>0</v>
      </c>
      <c r="O83" s="27">
        <v>4777.29</v>
      </c>
      <c r="P83" s="28">
        <v>0.45100000000000001</v>
      </c>
      <c r="Q83" s="27">
        <f t="shared" si="27"/>
        <v>3922.71</v>
      </c>
      <c r="R83" s="27"/>
      <c r="S83" s="27">
        <f t="shared" si="33"/>
        <v>3922.71</v>
      </c>
      <c r="T83" s="27">
        <f t="shared" si="23"/>
        <v>9361.1200000000008</v>
      </c>
      <c r="U83" s="27">
        <f t="shared" si="31"/>
        <v>9361.1200000000008</v>
      </c>
      <c r="V83" s="27">
        <f t="shared" si="32"/>
        <v>0</v>
      </c>
      <c r="W83" s="27"/>
      <c r="X83" s="27">
        <f t="shared" si="29"/>
        <v>9361.1200000000008</v>
      </c>
      <c r="Y83" s="27">
        <f t="shared" si="30"/>
        <v>0</v>
      </c>
      <c r="Z83" s="27"/>
      <c r="AA83" s="27">
        <v>9361.1200000000008</v>
      </c>
      <c r="AB83" s="27"/>
    </row>
    <row r="84" spans="1:28" ht="20.100000000000001" customHeight="1" outlineLevel="1" x14ac:dyDescent="0.2">
      <c r="A84" s="26" t="s">
        <v>327</v>
      </c>
      <c r="B84" s="30">
        <v>521</v>
      </c>
      <c r="C84" s="30" t="str">
        <f t="shared" si="25"/>
        <v>3</v>
      </c>
      <c r="D84" s="30" t="str">
        <f t="shared" si="26"/>
        <v>32</v>
      </c>
      <c r="E84" s="26" t="str">
        <f t="shared" si="14"/>
        <v>323</v>
      </c>
      <c r="F84" s="26" t="s">
        <v>97</v>
      </c>
      <c r="G84" s="26" t="s">
        <v>184</v>
      </c>
      <c r="H84" s="26" t="s">
        <v>99</v>
      </c>
      <c r="I84" s="27">
        <v>600</v>
      </c>
      <c r="J84" s="27">
        <f t="shared" si="22"/>
        <v>1809.25</v>
      </c>
      <c r="K84" s="27">
        <v>-1209.25</v>
      </c>
      <c r="L84" s="27">
        <v>0</v>
      </c>
      <c r="M84" s="27">
        <v>1809.25</v>
      </c>
      <c r="N84" s="27">
        <v>0</v>
      </c>
      <c r="O84" s="27">
        <v>-1209.25</v>
      </c>
      <c r="P84" s="28">
        <v>3.0150000000000001</v>
      </c>
      <c r="Q84" s="27">
        <f t="shared" si="27"/>
        <v>1809.25</v>
      </c>
      <c r="R84" s="27"/>
      <c r="S84" s="27">
        <f t="shared" si="33"/>
        <v>1809.25</v>
      </c>
      <c r="T84" s="27">
        <f t="shared" si="23"/>
        <v>3651</v>
      </c>
      <c r="U84" s="27">
        <f t="shared" si="31"/>
        <v>3651</v>
      </c>
      <c r="V84" s="27">
        <f t="shared" si="32"/>
        <v>0</v>
      </c>
      <c r="W84" s="27"/>
      <c r="X84" s="27">
        <f t="shared" si="29"/>
        <v>3651</v>
      </c>
      <c r="Y84" s="27">
        <f t="shared" si="30"/>
        <v>0</v>
      </c>
      <c r="Z84" s="27"/>
      <c r="AA84" s="27"/>
      <c r="AB84" s="27">
        <v>3651</v>
      </c>
    </row>
    <row r="85" spans="1:28" ht="20.100000000000001" customHeight="1" outlineLevel="1" x14ac:dyDescent="0.2">
      <c r="A85" s="26" t="s">
        <v>327</v>
      </c>
      <c r="B85" s="30">
        <v>521</v>
      </c>
      <c r="C85" s="30" t="str">
        <f t="shared" si="25"/>
        <v>3</v>
      </c>
      <c r="D85" s="30" t="str">
        <f t="shared" si="26"/>
        <v>32</v>
      </c>
      <c r="E85" s="26" t="str">
        <f t="shared" si="14"/>
        <v>323</v>
      </c>
      <c r="F85" s="26" t="s">
        <v>100</v>
      </c>
      <c r="G85" s="26" t="s">
        <v>185</v>
      </c>
      <c r="H85" s="26" t="s">
        <v>102</v>
      </c>
      <c r="I85" s="27">
        <v>700</v>
      </c>
      <c r="J85" s="27">
        <f t="shared" si="22"/>
        <v>0</v>
      </c>
      <c r="K85" s="27">
        <v>700</v>
      </c>
      <c r="L85" s="27">
        <v>0</v>
      </c>
      <c r="M85" s="27">
        <v>0</v>
      </c>
      <c r="N85" s="27">
        <v>0</v>
      </c>
      <c r="O85" s="27">
        <v>700</v>
      </c>
      <c r="P85" s="28">
        <v>0</v>
      </c>
      <c r="Q85" s="27">
        <f t="shared" si="27"/>
        <v>0</v>
      </c>
      <c r="R85" s="27"/>
      <c r="S85" s="27">
        <f t="shared" si="33"/>
        <v>0</v>
      </c>
      <c r="T85" s="27">
        <f t="shared" si="23"/>
        <v>0</v>
      </c>
      <c r="U85" s="27">
        <f t="shared" si="31"/>
        <v>0</v>
      </c>
      <c r="V85" s="27">
        <f t="shared" si="32"/>
        <v>0</v>
      </c>
      <c r="W85" s="27"/>
      <c r="X85" s="27">
        <f t="shared" si="29"/>
        <v>0</v>
      </c>
      <c r="Y85" s="27">
        <f t="shared" si="30"/>
        <v>0</v>
      </c>
      <c r="Z85" s="27"/>
      <c r="AA85" s="27"/>
      <c r="AB85" s="27"/>
    </row>
    <row r="86" spans="1:28" ht="20.100000000000001" customHeight="1" outlineLevel="1" x14ac:dyDescent="0.2">
      <c r="A86" s="26" t="s">
        <v>327</v>
      </c>
      <c r="B86" s="30">
        <v>521</v>
      </c>
      <c r="C86" s="30" t="str">
        <f t="shared" si="25"/>
        <v>3</v>
      </c>
      <c r="D86" s="30" t="str">
        <f t="shared" si="26"/>
        <v>32</v>
      </c>
      <c r="E86" s="26" t="str">
        <f t="shared" si="14"/>
        <v>323</v>
      </c>
      <c r="F86" s="26" t="s">
        <v>41</v>
      </c>
      <c r="G86" s="26" t="s">
        <v>186</v>
      </c>
      <c r="H86" s="26" t="s">
        <v>43</v>
      </c>
      <c r="I86" s="27">
        <v>600</v>
      </c>
      <c r="J86" s="27">
        <f t="shared" si="22"/>
        <v>0</v>
      </c>
      <c r="K86" s="27">
        <v>600</v>
      </c>
      <c r="L86" s="27">
        <v>0</v>
      </c>
      <c r="M86" s="27">
        <v>0</v>
      </c>
      <c r="N86" s="27">
        <v>0</v>
      </c>
      <c r="O86" s="27">
        <v>600</v>
      </c>
      <c r="P86" s="28">
        <v>0</v>
      </c>
      <c r="Q86" s="27">
        <f t="shared" si="27"/>
        <v>0</v>
      </c>
      <c r="R86" s="27"/>
      <c r="S86" s="27">
        <f t="shared" si="33"/>
        <v>0</v>
      </c>
      <c r="T86" s="27">
        <f t="shared" si="23"/>
        <v>740</v>
      </c>
      <c r="U86" s="27">
        <f t="shared" si="31"/>
        <v>740</v>
      </c>
      <c r="V86" s="27">
        <f t="shared" si="32"/>
        <v>0</v>
      </c>
      <c r="W86" s="27"/>
      <c r="X86" s="27">
        <f t="shared" si="29"/>
        <v>740</v>
      </c>
      <c r="Y86" s="27">
        <f t="shared" si="30"/>
        <v>0</v>
      </c>
      <c r="Z86" s="27">
        <v>740</v>
      </c>
      <c r="AA86" s="27"/>
      <c r="AB86" s="27"/>
    </row>
    <row r="87" spans="1:28" ht="20.100000000000001" customHeight="1" outlineLevel="1" x14ac:dyDescent="0.2">
      <c r="A87" s="26" t="s">
        <v>327</v>
      </c>
      <c r="B87" s="30">
        <v>521</v>
      </c>
      <c r="C87" s="30" t="str">
        <f t="shared" si="25"/>
        <v>3</v>
      </c>
      <c r="D87" s="30" t="str">
        <f t="shared" si="26"/>
        <v>32</v>
      </c>
      <c r="E87" s="26" t="str">
        <f t="shared" si="14"/>
        <v>323</v>
      </c>
      <c r="F87" s="26" t="s">
        <v>104</v>
      </c>
      <c r="G87" s="26" t="s">
        <v>187</v>
      </c>
      <c r="H87" s="26" t="s">
        <v>106</v>
      </c>
      <c r="I87" s="27">
        <v>5400</v>
      </c>
      <c r="J87" s="27">
        <f t="shared" si="22"/>
        <v>123.55000000000018</v>
      </c>
      <c r="K87" s="27">
        <v>5276.45</v>
      </c>
      <c r="L87" s="27">
        <v>0</v>
      </c>
      <c r="M87" s="27">
        <v>123.55</v>
      </c>
      <c r="N87" s="27">
        <v>0</v>
      </c>
      <c r="O87" s="27">
        <v>5276.45</v>
      </c>
      <c r="P87" s="28">
        <v>2.3E-2</v>
      </c>
      <c r="Q87" s="27">
        <f t="shared" si="27"/>
        <v>123.55000000000018</v>
      </c>
      <c r="R87" s="27"/>
      <c r="S87" s="27">
        <f t="shared" si="33"/>
        <v>123.55000000000018</v>
      </c>
      <c r="T87" s="27">
        <f t="shared" si="23"/>
        <v>123.55</v>
      </c>
      <c r="U87" s="27">
        <f t="shared" si="31"/>
        <v>123.55</v>
      </c>
      <c r="V87" s="27">
        <f t="shared" si="32"/>
        <v>0</v>
      </c>
      <c r="W87" s="27"/>
      <c r="X87" s="27">
        <f t="shared" si="29"/>
        <v>123.55</v>
      </c>
      <c r="Y87" s="27">
        <f t="shared" si="30"/>
        <v>0</v>
      </c>
      <c r="Z87" s="27"/>
      <c r="AA87" s="27">
        <v>123.55</v>
      </c>
      <c r="AB87" s="27"/>
    </row>
    <row r="88" spans="1:28" ht="20.100000000000001" customHeight="1" outlineLevel="1" x14ac:dyDescent="0.2">
      <c r="A88" s="26" t="s">
        <v>327</v>
      </c>
      <c r="B88" s="30">
        <v>521</v>
      </c>
      <c r="C88" s="30" t="str">
        <f t="shared" si="25"/>
        <v>3</v>
      </c>
      <c r="D88" s="30" t="str">
        <f t="shared" si="26"/>
        <v>32</v>
      </c>
      <c r="E88" s="26" t="str">
        <f t="shared" si="14"/>
        <v>323</v>
      </c>
      <c r="F88" s="26" t="s">
        <v>126</v>
      </c>
      <c r="G88" s="26" t="s">
        <v>188</v>
      </c>
      <c r="H88" s="26" t="s">
        <v>128</v>
      </c>
      <c r="I88" s="27">
        <v>2700</v>
      </c>
      <c r="J88" s="27">
        <f t="shared" si="22"/>
        <v>1781.3400000000001</v>
      </c>
      <c r="K88" s="27">
        <v>918.66</v>
      </c>
      <c r="L88" s="27">
        <v>0</v>
      </c>
      <c r="M88" s="27">
        <v>1781.34</v>
      </c>
      <c r="N88" s="27">
        <v>0</v>
      </c>
      <c r="O88" s="27">
        <v>918.66</v>
      </c>
      <c r="P88" s="28">
        <v>0.66</v>
      </c>
      <c r="Q88" s="27">
        <f t="shared" si="27"/>
        <v>1781.3400000000001</v>
      </c>
      <c r="R88" s="27"/>
      <c r="S88" s="27">
        <f t="shared" si="33"/>
        <v>1781.3400000000001</v>
      </c>
      <c r="T88" s="27">
        <f t="shared" si="23"/>
        <v>4915.34</v>
      </c>
      <c r="U88" s="27">
        <f t="shared" si="31"/>
        <v>4915.34</v>
      </c>
      <c r="V88" s="27">
        <f t="shared" si="32"/>
        <v>0</v>
      </c>
      <c r="W88" s="27"/>
      <c r="X88" s="27">
        <f t="shared" si="29"/>
        <v>4915.34</v>
      </c>
      <c r="Y88" s="27">
        <f t="shared" si="30"/>
        <v>0</v>
      </c>
      <c r="Z88" s="27">
        <v>97.5</v>
      </c>
      <c r="AA88" s="27">
        <v>3669.01</v>
      </c>
      <c r="AB88" s="27">
        <v>1148.83</v>
      </c>
    </row>
    <row r="89" spans="1:28" ht="20.100000000000001" customHeight="1" outlineLevel="1" x14ac:dyDescent="0.2">
      <c r="A89" s="26" t="s">
        <v>327</v>
      </c>
      <c r="B89" s="30">
        <v>521</v>
      </c>
      <c r="C89" s="30" t="str">
        <f t="shared" si="25"/>
        <v>3</v>
      </c>
      <c r="D89" s="30" t="str">
        <f t="shared" si="26"/>
        <v>32</v>
      </c>
      <c r="E89" s="26" t="str">
        <f t="shared" si="14"/>
        <v>329</v>
      </c>
      <c r="F89" s="26" t="s">
        <v>110</v>
      </c>
      <c r="G89" s="26" t="s">
        <v>189</v>
      </c>
      <c r="H89" s="26" t="s">
        <v>112</v>
      </c>
      <c r="I89" s="27">
        <v>1600</v>
      </c>
      <c r="J89" s="27">
        <f t="shared" si="22"/>
        <v>1668.05</v>
      </c>
      <c r="K89" s="27">
        <v>-68.05</v>
      </c>
      <c r="L89" s="27">
        <v>0</v>
      </c>
      <c r="M89" s="27">
        <v>1668.05</v>
      </c>
      <c r="N89" s="27">
        <v>0</v>
      </c>
      <c r="O89" s="27">
        <v>-68.05</v>
      </c>
      <c r="P89" s="28">
        <v>1.0429999999999999</v>
      </c>
      <c r="Q89" s="27">
        <f t="shared" si="27"/>
        <v>1668.05</v>
      </c>
      <c r="R89" s="27"/>
      <c r="S89" s="27">
        <f t="shared" si="33"/>
        <v>1668.05</v>
      </c>
      <c r="T89" s="27">
        <f t="shared" si="23"/>
        <v>1668.05</v>
      </c>
      <c r="U89" s="27">
        <f t="shared" si="31"/>
        <v>1668.05</v>
      </c>
      <c r="V89" s="27">
        <f t="shared" si="32"/>
        <v>0</v>
      </c>
      <c r="W89" s="27"/>
      <c r="X89" s="27">
        <f t="shared" si="29"/>
        <v>1668.05</v>
      </c>
      <c r="Y89" s="27">
        <f t="shared" si="30"/>
        <v>0</v>
      </c>
      <c r="Z89" s="27"/>
      <c r="AA89" s="27">
        <v>1668.05</v>
      </c>
      <c r="AB89" s="27"/>
    </row>
    <row r="90" spans="1:28" ht="20.100000000000001" customHeight="1" outlineLevel="1" x14ac:dyDescent="0.2">
      <c r="A90" s="26" t="s">
        <v>327</v>
      </c>
      <c r="B90" s="30">
        <v>521</v>
      </c>
      <c r="C90" s="30" t="str">
        <f t="shared" si="25"/>
        <v>3</v>
      </c>
      <c r="D90" s="30" t="str">
        <f t="shared" si="26"/>
        <v>32</v>
      </c>
      <c r="E90" s="26" t="str">
        <f t="shared" si="14"/>
        <v>329</v>
      </c>
      <c r="F90" s="26" t="s">
        <v>154</v>
      </c>
      <c r="G90" s="26" t="s">
        <v>190</v>
      </c>
      <c r="H90" s="26" t="s">
        <v>156</v>
      </c>
      <c r="I90" s="27">
        <v>800</v>
      </c>
      <c r="J90" s="27">
        <f t="shared" si="22"/>
        <v>562.46</v>
      </c>
      <c r="K90" s="27">
        <v>237.54</v>
      </c>
      <c r="L90" s="27">
        <v>0</v>
      </c>
      <c r="M90" s="27">
        <v>562.46</v>
      </c>
      <c r="N90" s="27">
        <v>0</v>
      </c>
      <c r="O90" s="27">
        <v>237.54</v>
      </c>
      <c r="P90" s="28">
        <v>0.70299999999999996</v>
      </c>
      <c r="Q90" s="27">
        <f t="shared" si="27"/>
        <v>562.46</v>
      </c>
      <c r="R90" s="27"/>
      <c r="S90" s="27">
        <f t="shared" si="33"/>
        <v>562.46</v>
      </c>
      <c r="T90" s="27">
        <f t="shared" si="23"/>
        <v>1319.6100000000001</v>
      </c>
      <c r="U90" s="27">
        <f t="shared" si="31"/>
        <v>1319.6100000000001</v>
      </c>
      <c r="V90" s="27">
        <f t="shared" si="32"/>
        <v>0</v>
      </c>
      <c r="W90" s="27"/>
      <c r="X90" s="27">
        <f t="shared" si="29"/>
        <v>1319.6100000000001</v>
      </c>
      <c r="Y90" s="27">
        <f t="shared" si="30"/>
        <v>0</v>
      </c>
      <c r="Z90" s="27">
        <v>1162.48</v>
      </c>
      <c r="AA90" s="27">
        <v>157.13</v>
      </c>
      <c r="AB90" s="27"/>
    </row>
    <row r="91" spans="1:28" ht="20.100000000000001" customHeight="1" outlineLevel="1" x14ac:dyDescent="0.2">
      <c r="A91" s="26" t="s">
        <v>327</v>
      </c>
      <c r="B91" s="30">
        <v>521</v>
      </c>
      <c r="C91" s="30" t="str">
        <f t="shared" si="25"/>
        <v>3</v>
      </c>
      <c r="D91" s="30" t="str">
        <f t="shared" si="26"/>
        <v>32</v>
      </c>
      <c r="E91" s="26" t="str">
        <f t="shared" si="14"/>
        <v>329</v>
      </c>
      <c r="F91" s="26" t="s">
        <v>113</v>
      </c>
      <c r="G91" s="26" t="s">
        <v>191</v>
      </c>
      <c r="H91" s="26" t="s">
        <v>115</v>
      </c>
      <c r="I91" s="27">
        <v>0</v>
      </c>
      <c r="J91" s="27">
        <f t="shared" si="22"/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8">
        <v>0</v>
      </c>
      <c r="Q91" s="27">
        <f t="shared" si="27"/>
        <v>0</v>
      </c>
      <c r="R91" s="27"/>
      <c r="S91" s="27">
        <f t="shared" si="33"/>
        <v>0</v>
      </c>
      <c r="T91" s="27">
        <f t="shared" si="23"/>
        <v>0</v>
      </c>
      <c r="U91" s="27">
        <f t="shared" si="31"/>
        <v>0</v>
      </c>
      <c r="V91" s="27">
        <f t="shared" si="32"/>
        <v>0</v>
      </c>
      <c r="W91" s="27"/>
      <c r="X91" s="27">
        <f t="shared" si="29"/>
        <v>0</v>
      </c>
      <c r="Y91" s="27">
        <f t="shared" si="30"/>
        <v>0</v>
      </c>
      <c r="Z91" s="27"/>
      <c r="AA91" s="27"/>
      <c r="AB91" s="27"/>
    </row>
    <row r="92" spans="1:28" ht="20.100000000000001" customHeight="1" outlineLevel="1" x14ac:dyDescent="0.2">
      <c r="A92" s="26" t="s">
        <v>327</v>
      </c>
      <c r="B92" s="30">
        <v>521</v>
      </c>
      <c r="C92" s="30" t="str">
        <f t="shared" si="25"/>
        <v>3</v>
      </c>
      <c r="D92" s="30" t="str">
        <f t="shared" si="26"/>
        <v>32</v>
      </c>
      <c r="E92" s="26" t="str">
        <f t="shared" si="14"/>
        <v>329</v>
      </c>
      <c r="F92" s="26" t="s">
        <v>116</v>
      </c>
      <c r="G92" s="26" t="s">
        <v>192</v>
      </c>
      <c r="H92" s="26" t="s">
        <v>118</v>
      </c>
      <c r="I92" s="27">
        <v>600</v>
      </c>
      <c r="J92" s="27">
        <f t="shared" si="22"/>
        <v>127.38</v>
      </c>
      <c r="K92" s="27">
        <v>472.62</v>
      </c>
      <c r="L92" s="27">
        <v>0</v>
      </c>
      <c r="M92" s="27">
        <v>127.38</v>
      </c>
      <c r="N92" s="27">
        <v>0</v>
      </c>
      <c r="O92" s="27">
        <v>472.62</v>
      </c>
      <c r="P92" s="28">
        <v>0.21199999999999999</v>
      </c>
      <c r="Q92" s="27">
        <f t="shared" si="27"/>
        <v>127.38</v>
      </c>
      <c r="R92" s="27"/>
      <c r="S92" s="27">
        <f t="shared" si="33"/>
        <v>127.38</v>
      </c>
      <c r="T92" s="27">
        <f t="shared" si="23"/>
        <v>307.83999999999997</v>
      </c>
      <c r="U92" s="27">
        <f t="shared" si="31"/>
        <v>307.83999999999997</v>
      </c>
      <c r="V92" s="27">
        <f t="shared" si="32"/>
        <v>0</v>
      </c>
      <c r="W92" s="27"/>
      <c r="X92" s="27">
        <f t="shared" si="29"/>
        <v>307.83999999999997</v>
      </c>
      <c r="Y92" s="27">
        <f t="shared" si="30"/>
        <v>0</v>
      </c>
      <c r="Z92" s="27"/>
      <c r="AA92" s="27">
        <v>307.83999999999997</v>
      </c>
      <c r="AB92" s="27"/>
    </row>
    <row r="93" spans="1:28" ht="20.100000000000001" customHeight="1" outlineLevel="1" x14ac:dyDescent="0.2">
      <c r="A93" s="26" t="s">
        <v>327</v>
      </c>
      <c r="B93" s="30">
        <v>521</v>
      </c>
      <c r="C93" s="30" t="str">
        <f t="shared" si="25"/>
        <v>3</v>
      </c>
      <c r="D93" s="30" t="str">
        <f t="shared" si="26"/>
        <v>32</v>
      </c>
      <c r="E93" s="26" t="str">
        <f t="shared" si="14"/>
        <v>329</v>
      </c>
      <c r="F93" s="26" t="s">
        <v>159</v>
      </c>
      <c r="G93" s="26" t="s">
        <v>193</v>
      </c>
      <c r="H93" s="26" t="s">
        <v>161</v>
      </c>
      <c r="I93" s="27">
        <v>2000</v>
      </c>
      <c r="J93" s="27">
        <f t="shared" si="22"/>
        <v>40.5</v>
      </c>
      <c r="K93" s="27">
        <v>1959.5</v>
      </c>
      <c r="L93" s="27">
        <v>0</v>
      </c>
      <c r="M93" s="27">
        <v>40.5</v>
      </c>
      <c r="N93" s="27">
        <v>0</v>
      </c>
      <c r="O93" s="27">
        <v>1959.5</v>
      </c>
      <c r="P93" s="28">
        <v>0.02</v>
      </c>
      <c r="Q93" s="27">
        <f t="shared" si="27"/>
        <v>40.5</v>
      </c>
      <c r="R93" s="27"/>
      <c r="S93" s="27">
        <f t="shared" si="33"/>
        <v>40.5</v>
      </c>
      <c r="T93" s="27">
        <f t="shared" si="23"/>
        <v>45</v>
      </c>
      <c r="U93" s="27">
        <f t="shared" si="31"/>
        <v>45</v>
      </c>
      <c r="V93" s="27">
        <f t="shared" si="32"/>
        <v>0</v>
      </c>
      <c r="W93" s="27"/>
      <c r="X93" s="27">
        <f t="shared" si="29"/>
        <v>45</v>
      </c>
      <c r="Y93" s="27">
        <f t="shared" si="30"/>
        <v>0</v>
      </c>
      <c r="Z93" s="27"/>
      <c r="AA93" s="27">
        <v>45</v>
      </c>
      <c r="AB93" s="27"/>
    </row>
    <row r="94" spans="1:28" ht="20.100000000000001" customHeight="1" outlineLevel="1" x14ac:dyDescent="0.2">
      <c r="A94" s="26" t="s">
        <v>327</v>
      </c>
      <c r="B94" s="30">
        <v>521</v>
      </c>
      <c r="C94" s="30" t="str">
        <f t="shared" si="25"/>
        <v>3</v>
      </c>
      <c r="D94" s="30" t="str">
        <f t="shared" si="26"/>
        <v>34</v>
      </c>
      <c r="E94" s="26" t="str">
        <f t="shared" si="14"/>
        <v>343</v>
      </c>
      <c r="F94" s="26" t="s">
        <v>119</v>
      </c>
      <c r="G94" s="26" t="s">
        <v>194</v>
      </c>
      <c r="H94" s="26" t="s">
        <v>121</v>
      </c>
      <c r="I94" s="27">
        <v>2700</v>
      </c>
      <c r="J94" s="27">
        <f t="shared" si="22"/>
        <v>0</v>
      </c>
      <c r="K94" s="27">
        <v>2700</v>
      </c>
      <c r="L94" s="27">
        <v>0</v>
      </c>
      <c r="M94" s="27">
        <v>0</v>
      </c>
      <c r="N94" s="27">
        <v>0</v>
      </c>
      <c r="O94" s="27">
        <v>2700</v>
      </c>
      <c r="P94" s="28">
        <v>0</v>
      </c>
      <c r="Q94" s="27">
        <f t="shared" si="27"/>
        <v>0</v>
      </c>
      <c r="R94" s="27"/>
      <c r="S94" s="27">
        <f t="shared" si="33"/>
        <v>0</v>
      </c>
      <c r="T94" s="27">
        <f t="shared" si="23"/>
        <v>0</v>
      </c>
      <c r="U94" s="27">
        <f t="shared" si="31"/>
        <v>0</v>
      </c>
      <c r="V94" s="27">
        <f t="shared" si="32"/>
        <v>0</v>
      </c>
      <c r="W94" s="27"/>
      <c r="X94" s="27">
        <f t="shared" si="29"/>
        <v>0</v>
      </c>
      <c r="Y94" s="27">
        <f t="shared" si="30"/>
        <v>0</v>
      </c>
      <c r="Z94" s="27"/>
      <c r="AA94" s="27"/>
      <c r="AB94" s="27"/>
    </row>
    <row r="95" spans="1:28" ht="20.100000000000001" customHeight="1" outlineLevel="1" x14ac:dyDescent="0.2">
      <c r="A95" s="26" t="s">
        <v>327</v>
      </c>
      <c r="B95" s="30">
        <v>521</v>
      </c>
      <c r="C95" s="30" t="str">
        <f t="shared" si="25"/>
        <v>3</v>
      </c>
      <c r="D95" s="30" t="str">
        <f t="shared" si="26"/>
        <v>34</v>
      </c>
      <c r="E95" s="26" t="str">
        <f t="shared" si="14"/>
        <v>343</v>
      </c>
      <c r="F95" s="26" t="s">
        <v>163</v>
      </c>
      <c r="G95" s="26" t="s">
        <v>195</v>
      </c>
      <c r="H95" s="26" t="s">
        <v>165</v>
      </c>
      <c r="I95" s="27">
        <v>200</v>
      </c>
      <c r="J95" s="27">
        <f t="shared" si="22"/>
        <v>0</v>
      </c>
      <c r="K95" s="27">
        <v>200</v>
      </c>
      <c r="L95" s="27">
        <v>0</v>
      </c>
      <c r="M95" s="27">
        <v>0</v>
      </c>
      <c r="N95" s="27">
        <v>0</v>
      </c>
      <c r="O95" s="27">
        <v>200</v>
      </c>
      <c r="P95" s="28">
        <v>0</v>
      </c>
      <c r="Q95" s="27">
        <f t="shared" si="27"/>
        <v>0</v>
      </c>
      <c r="R95" s="27"/>
      <c r="S95" s="27">
        <f t="shared" si="33"/>
        <v>0</v>
      </c>
      <c r="T95" s="27">
        <f t="shared" si="23"/>
        <v>22.55</v>
      </c>
      <c r="U95" s="27">
        <f t="shared" si="31"/>
        <v>22.55</v>
      </c>
      <c r="V95" s="27">
        <f t="shared" si="32"/>
        <v>0</v>
      </c>
      <c r="W95" s="27"/>
      <c r="X95" s="27">
        <f t="shared" si="29"/>
        <v>22.55</v>
      </c>
      <c r="Y95" s="27">
        <f t="shared" si="30"/>
        <v>0</v>
      </c>
      <c r="Z95" s="27"/>
      <c r="AA95" s="27">
        <v>22.55</v>
      </c>
      <c r="AB95" s="27"/>
    </row>
    <row r="96" spans="1:28" ht="20.100000000000001" customHeight="1" x14ac:dyDescent="0.2">
      <c r="F96" s="216" t="s">
        <v>34</v>
      </c>
      <c r="G96" s="216"/>
      <c r="H96" s="216"/>
      <c r="I96" s="52">
        <f>SUMIFS(I97:I265,$A97:$A265,"A212401",$B97:$B265,"541")</f>
        <v>1000</v>
      </c>
      <c r="J96" s="52">
        <f t="shared" ref="J96:V96" si="34">SUMIFS(J97:J265,$A97:$A265,"A212401",$B97:$B265,"541")</f>
        <v>268.10000000000002</v>
      </c>
      <c r="K96" s="52">
        <f t="shared" si="34"/>
        <v>731.9</v>
      </c>
      <c r="L96" s="52">
        <f t="shared" si="34"/>
        <v>0</v>
      </c>
      <c r="M96" s="52">
        <f t="shared" si="34"/>
        <v>268.10000000000002</v>
      </c>
      <c r="N96" s="52">
        <f t="shared" si="34"/>
        <v>0</v>
      </c>
      <c r="O96" s="52">
        <f t="shared" si="34"/>
        <v>731.9</v>
      </c>
      <c r="P96" s="53">
        <v>0.26800000000000002</v>
      </c>
      <c r="Q96" s="52">
        <f t="shared" si="34"/>
        <v>268.10000000000002</v>
      </c>
      <c r="R96" s="52">
        <f t="shared" si="34"/>
        <v>0</v>
      </c>
      <c r="S96" s="52">
        <f t="shared" si="34"/>
        <v>268.10000000000002</v>
      </c>
      <c r="T96" s="52">
        <f>SUMIFS(T97:T265,$A97:$A265,"A212401",$B97:$B265,"541")</f>
        <v>308.09000000000003</v>
      </c>
      <c r="U96" s="52">
        <f t="shared" si="34"/>
        <v>308.09000000000003</v>
      </c>
      <c r="V96" s="52">
        <f t="shared" si="34"/>
        <v>0</v>
      </c>
      <c r="W96" s="52"/>
      <c r="X96" s="52">
        <f>SUMIFS(X97:X265,$A97:$A265,"A212401",$B97:$B265,"541")</f>
        <v>308.09000000000003</v>
      </c>
      <c r="Y96" s="52">
        <f>SUMIFS(Y97:Y265,$A97:$A265,"A212401",$B97:$B265,"541")</f>
        <v>0</v>
      </c>
      <c r="Z96" s="52"/>
      <c r="AA96" s="52"/>
      <c r="AB96" s="52"/>
    </row>
    <row r="97" spans="1:25" ht="20.100000000000001" customHeight="1" outlineLevel="1" x14ac:dyDescent="0.2">
      <c r="A97" s="26" t="s">
        <v>327</v>
      </c>
      <c r="B97" s="30">
        <v>541</v>
      </c>
      <c r="C97" s="30" t="str">
        <f>LEFT(F97,1)</f>
        <v>3</v>
      </c>
      <c r="D97" s="30" t="str">
        <f>LEFT(F97,2)</f>
        <v>32</v>
      </c>
      <c r="E97" s="26" t="str">
        <f t="shared" si="14"/>
        <v>322</v>
      </c>
      <c r="F97" s="26" t="s">
        <v>72</v>
      </c>
      <c r="G97" s="26" t="s">
        <v>196</v>
      </c>
      <c r="H97" s="26" t="s">
        <v>74</v>
      </c>
      <c r="I97" s="27">
        <v>0</v>
      </c>
      <c r="J97" s="27">
        <f t="shared" si="22"/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8">
        <v>0</v>
      </c>
      <c r="Q97" s="27">
        <f>J97</f>
        <v>0</v>
      </c>
      <c r="R97" s="27"/>
      <c r="S97" s="27">
        <f>R97+Q97</f>
        <v>0</v>
      </c>
      <c r="T97" s="27">
        <f t="shared" si="23"/>
        <v>0</v>
      </c>
      <c r="U97" s="27"/>
      <c r="V97" s="27">
        <f t="shared" si="32"/>
        <v>0</v>
      </c>
      <c r="W97" s="27"/>
      <c r="X97" s="27">
        <f>U97+W97</f>
        <v>0</v>
      </c>
      <c r="Y97" s="27">
        <f>T97-X97</f>
        <v>0</v>
      </c>
    </row>
    <row r="98" spans="1:25" ht="20.100000000000001" customHeight="1" outlineLevel="1" x14ac:dyDescent="0.2">
      <c r="A98" s="26" t="s">
        <v>327</v>
      </c>
      <c r="B98" s="30">
        <v>541</v>
      </c>
      <c r="C98" s="30" t="str">
        <f>LEFT(F98,1)</f>
        <v>3</v>
      </c>
      <c r="D98" s="30" t="str">
        <f>LEFT(F98,2)</f>
        <v>32</v>
      </c>
      <c r="E98" s="26" t="str">
        <f t="shared" si="14"/>
        <v>322</v>
      </c>
      <c r="F98" s="26" t="s">
        <v>75</v>
      </c>
      <c r="G98" s="26" t="s">
        <v>197</v>
      </c>
      <c r="H98" s="26" t="s">
        <v>77</v>
      </c>
      <c r="I98" s="27">
        <v>100</v>
      </c>
      <c r="J98" s="27">
        <f t="shared" si="22"/>
        <v>0</v>
      </c>
      <c r="K98" s="27">
        <v>100</v>
      </c>
      <c r="L98" s="27">
        <v>0</v>
      </c>
      <c r="M98" s="27">
        <v>0</v>
      </c>
      <c r="N98" s="27">
        <v>0</v>
      </c>
      <c r="O98" s="27">
        <v>100</v>
      </c>
      <c r="P98" s="28">
        <v>0</v>
      </c>
      <c r="Q98" s="27">
        <f>J98</f>
        <v>0</v>
      </c>
      <c r="R98" s="27"/>
      <c r="S98" s="27">
        <f>R98+Q98</f>
        <v>0</v>
      </c>
      <c r="T98" s="27">
        <f t="shared" si="23"/>
        <v>39.99</v>
      </c>
      <c r="U98" s="27">
        <v>39.99</v>
      </c>
      <c r="V98" s="27">
        <f t="shared" si="32"/>
        <v>0</v>
      </c>
      <c r="W98" s="27"/>
      <c r="X98" s="27">
        <f>U98+W98</f>
        <v>39.99</v>
      </c>
      <c r="Y98" s="27">
        <f>T98-X98</f>
        <v>0</v>
      </c>
    </row>
    <row r="99" spans="1:25" ht="20.100000000000001" customHeight="1" outlineLevel="1" x14ac:dyDescent="0.2">
      <c r="A99" s="26" t="s">
        <v>327</v>
      </c>
      <c r="B99" s="30">
        <v>541</v>
      </c>
      <c r="C99" s="30" t="str">
        <f>LEFT(F99,1)</f>
        <v>3</v>
      </c>
      <c r="D99" s="30" t="str">
        <f>LEFT(F99,2)</f>
        <v>32</v>
      </c>
      <c r="E99" s="26" t="str">
        <f t="shared" si="14"/>
        <v>322</v>
      </c>
      <c r="F99" s="26" t="s">
        <v>84</v>
      </c>
      <c r="G99" s="26" t="s">
        <v>198</v>
      </c>
      <c r="H99" s="26" t="s">
        <v>86</v>
      </c>
      <c r="I99" s="27">
        <v>300</v>
      </c>
      <c r="J99" s="27">
        <f t="shared" si="22"/>
        <v>268.10000000000002</v>
      </c>
      <c r="K99" s="27">
        <v>31.9</v>
      </c>
      <c r="L99" s="27">
        <v>0</v>
      </c>
      <c r="M99" s="27">
        <v>268.10000000000002</v>
      </c>
      <c r="N99" s="27">
        <v>0</v>
      </c>
      <c r="O99" s="27">
        <v>31.9</v>
      </c>
      <c r="P99" s="28">
        <v>0.89400000000000002</v>
      </c>
      <c r="Q99" s="27">
        <f>J99</f>
        <v>268.10000000000002</v>
      </c>
      <c r="R99" s="27"/>
      <c r="S99" s="27">
        <f>R99+Q99</f>
        <v>268.10000000000002</v>
      </c>
      <c r="T99" s="27">
        <f t="shared" si="23"/>
        <v>268.10000000000002</v>
      </c>
      <c r="U99" s="27">
        <v>268.10000000000002</v>
      </c>
      <c r="V99" s="27">
        <f t="shared" si="32"/>
        <v>0</v>
      </c>
      <c r="W99" s="27"/>
      <c r="X99" s="27">
        <f>U99+W99</f>
        <v>268.10000000000002</v>
      </c>
      <c r="Y99" s="27">
        <f>T99-X99</f>
        <v>0</v>
      </c>
    </row>
    <row r="100" spans="1:25" ht="20.100000000000001" customHeight="1" outlineLevel="1" x14ac:dyDescent="0.2">
      <c r="A100" s="26" t="s">
        <v>327</v>
      </c>
      <c r="B100" s="30">
        <v>541</v>
      </c>
      <c r="C100" s="30" t="str">
        <f>LEFT(F100,1)</f>
        <v>3</v>
      </c>
      <c r="D100" s="30" t="str">
        <f>LEFT(F100,2)</f>
        <v>32</v>
      </c>
      <c r="E100" s="26" t="str">
        <f t="shared" si="14"/>
        <v>323</v>
      </c>
      <c r="F100" s="26" t="s">
        <v>97</v>
      </c>
      <c r="G100" s="26" t="s">
        <v>199</v>
      </c>
      <c r="H100" s="26" t="s">
        <v>99</v>
      </c>
      <c r="I100" s="27">
        <v>0</v>
      </c>
      <c r="J100" s="27">
        <f t="shared" si="22"/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8">
        <v>0</v>
      </c>
      <c r="Q100" s="27">
        <f>J100</f>
        <v>0</v>
      </c>
      <c r="R100" s="27"/>
      <c r="S100" s="27">
        <f>R100+Q100</f>
        <v>0</v>
      </c>
      <c r="T100" s="27">
        <f t="shared" si="23"/>
        <v>0</v>
      </c>
      <c r="U100" s="27"/>
      <c r="V100" s="27">
        <f t="shared" si="32"/>
        <v>0</v>
      </c>
      <c r="W100" s="27"/>
      <c r="X100" s="27">
        <f>U100+W100</f>
        <v>0</v>
      </c>
      <c r="Y100" s="27">
        <f>T100-X100</f>
        <v>0</v>
      </c>
    </row>
    <row r="101" spans="1:25" ht="20.100000000000001" customHeight="1" outlineLevel="1" x14ac:dyDescent="0.2">
      <c r="A101" s="26" t="s">
        <v>327</v>
      </c>
      <c r="B101" s="30">
        <v>541</v>
      </c>
      <c r="C101" s="30" t="str">
        <f>LEFT(F101,1)</f>
        <v>3</v>
      </c>
      <c r="D101" s="30" t="str">
        <f>LEFT(F101,2)</f>
        <v>32</v>
      </c>
      <c r="E101" s="26" t="str">
        <f t="shared" si="14"/>
        <v>329</v>
      </c>
      <c r="F101" s="26" t="s">
        <v>154</v>
      </c>
      <c r="G101" s="26" t="s">
        <v>200</v>
      </c>
      <c r="H101" s="26" t="s">
        <v>156</v>
      </c>
      <c r="I101" s="27">
        <v>600</v>
      </c>
      <c r="J101" s="27">
        <f t="shared" si="22"/>
        <v>0</v>
      </c>
      <c r="K101" s="27">
        <v>600</v>
      </c>
      <c r="L101" s="27">
        <v>0</v>
      </c>
      <c r="M101" s="27">
        <v>0</v>
      </c>
      <c r="N101" s="27">
        <v>0</v>
      </c>
      <c r="O101" s="27">
        <v>600</v>
      </c>
      <c r="P101" s="28">
        <v>0</v>
      </c>
      <c r="Q101" s="27">
        <f>J101</f>
        <v>0</v>
      </c>
      <c r="R101" s="27"/>
      <c r="S101" s="27">
        <f>R101+Q101</f>
        <v>0</v>
      </c>
      <c r="T101" s="27">
        <f t="shared" si="23"/>
        <v>0</v>
      </c>
      <c r="U101" s="27"/>
      <c r="V101" s="27">
        <f t="shared" si="32"/>
        <v>0</v>
      </c>
      <c r="W101" s="27"/>
      <c r="X101" s="27">
        <f>U101+W101</f>
        <v>0</v>
      </c>
      <c r="Y101" s="27">
        <f>T101-X101</f>
        <v>0</v>
      </c>
    </row>
    <row r="102" spans="1:25" ht="20.100000000000001" customHeight="1" x14ac:dyDescent="0.2">
      <c r="F102" s="216" t="s">
        <v>201</v>
      </c>
      <c r="G102" s="216"/>
      <c r="H102" s="216"/>
      <c r="I102" s="52">
        <f>SUMIFS(I103:I271,$A103:$A271,"A212401",$B103:$B271,"561")</f>
        <v>28000</v>
      </c>
      <c r="J102" s="52">
        <f t="shared" ref="J102:V102" si="35">SUMIFS(J103:J271,$A103:$A271,"A212401",$B103:$B271,"561")</f>
        <v>20388.099999999999</v>
      </c>
      <c r="K102" s="52">
        <f t="shared" si="35"/>
        <v>7611.9000000000005</v>
      </c>
      <c r="L102" s="52">
        <f t="shared" si="35"/>
        <v>0</v>
      </c>
      <c r="M102" s="52">
        <f t="shared" si="35"/>
        <v>20388.099999999999</v>
      </c>
      <c r="N102" s="52">
        <f t="shared" si="35"/>
        <v>0</v>
      </c>
      <c r="O102" s="52">
        <f t="shared" si="35"/>
        <v>7611.9000000000005</v>
      </c>
      <c r="P102" s="53">
        <v>0.72799999999999998</v>
      </c>
      <c r="Q102" s="52">
        <f t="shared" si="35"/>
        <v>20388.099999999999</v>
      </c>
      <c r="R102" s="52">
        <f t="shared" si="35"/>
        <v>0</v>
      </c>
      <c r="S102" s="52">
        <f t="shared" si="35"/>
        <v>20388.099999999999</v>
      </c>
      <c r="T102" s="52">
        <f>SUMIFS(T103:T271,$A103:$A271,"A212401",$B103:$B271,"561")</f>
        <v>27200.49</v>
      </c>
      <c r="U102" s="52">
        <f t="shared" si="35"/>
        <v>27200.49</v>
      </c>
      <c r="V102" s="52">
        <f t="shared" si="35"/>
        <v>0</v>
      </c>
      <c r="W102" s="52"/>
      <c r="X102" s="52">
        <f>SUMIFS(X103:X271,$A103:$A271,"A212401",$B103:$B271,"561")</f>
        <v>27200.49</v>
      </c>
      <c r="Y102" s="52">
        <f>SUMIFS(Y103:Y271,$A103:$A271,"A212401",$B103:$B271,"561")</f>
        <v>0</v>
      </c>
    </row>
    <row r="103" spans="1:25" ht="20.100000000000001" customHeight="1" outlineLevel="1" x14ac:dyDescent="0.2">
      <c r="A103" s="26" t="s">
        <v>327</v>
      </c>
      <c r="B103" s="30">
        <v>561</v>
      </c>
      <c r="C103" s="30" t="str">
        <f t="shared" ref="C103:C109" si="36">LEFT(F103,1)</f>
        <v>3</v>
      </c>
      <c r="D103" s="30" t="str">
        <f t="shared" ref="D103:D109" si="37">LEFT(F103,2)</f>
        <v>32</v>
      </c>
      <c r="E103" s="26" t="str">
        <f t="shared" si="14"/>
        <v>321</v>
      </c>
      <c r="F103" s="26" t="s">
        <v>130</v>
      </c>
      <c r="G103" s="26" t="s">
        <v>202</v>
      </c>
      <c r="H103" s="26" t="s">
        <v>132</v>
      </c>
      <c r="I103" s="27">
        <v>18000</v>
      </c>
      <c r="J103" s="27">
        <f t="shared" si="22"/>
        <v>18042.53</v>
      </c>
      <c r="K103" s="27">
        <v>-42.53</v>
      </c>
      <c r="L103" s="27">
        <v>0</v>
      </c>
      <c r="M103" s="27">
        <v>18042.53</v>
      </c>
      <c r="N103" s="27">
        <v>0</v>
      </c>
      <c r="O103" s="27">
        <v>-42.53</v>
      </c>
      <c r="P103" s="28">
        <v>1.002</v>
      </c>
      <c r="Q103" s="27">
        <f t="shared" ref="Q103:Q109" si="38">J103</f>
        <v>18042.53</v>
      </c>
      <c r="R103" s="27"/>
      <c r="S103" s="27">
        <f t="shared" ref="S103:S109" si="39">R103+Q103</f>
        <v>18042.53</v>
      </c>
      <c r="T103" s="27">
        <f t="shared" si="23"/>
        <v>21669.13</v>
      </c>
      <c r="U103" s="27">
        <f>21349.13+320</f>
        <v>21669.13</v>
      </c>
      <c r="V103" s="27">
        <f t="shared" si="32"/>
        <v>0</v>
      </c>
      <c r="W103" s="27"/>
      <c r="X103" s="27">
        <f t="shared" ref="X103:X109" si="40">U103+W103</f>
        <v>21669.13</v>
      </c>
      <c r="Y103" s="27">
        <f t="shared" ref="Y103:Y109" si="41">T103-X103</f>
        <v>0</v>
      </c>
    </row>
    <row r="104" spans="1:25" ht="20.100000000000001" customHeight="1" outlineLevel="1" x14ac:dyDescent="0.2">
      <c r="A104" s="26" t="s">
        <v>327</v>
      </c>
      <c r="B104" s="30">
        <v>561</v>
      </c>
      <c r="C104" s="30" t="str">
        <f t="shared" si="36"/>
        <v>3</v>
      </c>
      <c r="D104" s="30" t="str">
        <f t="shared" si="37"/>
        <v>32</v>
      </c>
      <c r="E104" s="26" t="str">
        <f t="shared" si="14"/>
        <v>321</v>
      </c>
      <c r="F104" s="26" t="s">
        <v>69</v>
      </c>
      <c r="G104" s="26" t="s">
        <v>203</v>
      </c>
      <c r="H104" s="26" t="s">
        <v>71</v>
      </c>
      <c r="I104" s="27">
        <v>4000</v>
      </c>
      <c r="J104" s="27">
        <f t="shared" si="22"/>
        <v>2150</v>
      </c>
      <c r="K104" s="27">
        <v>1850</v>
      </c>
      <c r="L104" s="27">
        <v>0</v>
      </c>
      <c r="M104" s="27">
        <v>2150</v>
      </c>
      <c r="N104" s="27">
        <v>0</v>
      </c>
      <c r="O104" s="27">
        <v>1850</v>
      </c>
      <c r="P104" s="28">
        <v>0.53800000000000003</v>
      </c>
      <c r="Q104" s="27">
        <f t="shared" si="38"/>
        <v>2150</v>
      </c>
      <c r="R104" s="27"/>
      <c r="S104" s="27">
        <f t="shared" si="39"/>
        <v>2150</v>
      </c>
      <c r="T104" s="27">
        <f t="shared" si="23"/>
        <v>2150</v>
      </c>
      <c r="U104" s="27">
        <v>2150</v>
      </c>
      <c r="V104" s="27">
        <f t="shared" si="32"/>
        <v>0</v>
      </c>
      <c r="W104" s="27"/>
      <c r="X104" s="27">
        <f t="shared" si="40"/>
        <v>2150</v>
      </c>
      <c r="Y104" s="27">
        <f t="shared" si="41"/>
        <v>0</v>
      </c>
    </row>
    <row r="105" spans="1:25" ht="20.100000000000001" customHeight="1" outlineLevel="1" x14ac:dyDescent="0.2">
      <c r="A105" s="26" t="s">
        <v>327</v>
      </c>
      <c r="B105" s="30">
        <v>561</v>
      </c>
      <c r="C105" s="30" t="str">
        <f t="shared" si="36"/>
        <v>3</v>
      </c>
      <c r="D105" s="30" t="str">
        <f t="shared" si="37"/>
        <v>32</v>
      </c>
      <c r="E105" s="26" t="str">
        <f>LEFT(F105,3)</f>
        <v>323</v>
      </c>
      <c r="F105" s="26" t="s">
        <v>38</v>
      </c>
      <c r="G105" s="26" t="s">
        <v>204</v>
      </c>
      <c r="H105" s="26" t="s">
        <v>40</v>
      </c>
      <c r="I105" s="27">
        <v>0</v>
      </c>
      <c r="J105" s="27">
        <f t="shared" si="22"/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8">
        <v>0</v>
      </c>
      <c r="Q105" s="27">
        <f t="shared" si="38"/>
        <v>0</v>
      </c>
      <c r="R105" s="27"/>
      <c r="S105" s="27">
        <f t="shared" si="39"/>
        <v>0</v>
      </c>
      <c r="T105" s="27">
        <f t="shared" si="23"/>
        <v>0</v>
      </c>
      <c r="U105" s="27"/>
      <c r="V105" s="27">
        <f t="shared" si="32"/>
        <v>0</v>
      </c>
      <c r="W105" s="27"/>
      <c r="X105" s="27">
        <f t="shared" si="40"/>
        <v>0</v>
      </c>
      <c r="Y105" s="27">
        <f t="shared" si="41"/>
        <v>0</v>
      </c>
    </row>
    <row r="106" spans="1:25" ht="20.100000000000001" customHeight="1" outlineLevel="1" x14ac:dyDescent="0.2">
      <c r="A106" s="26" t="s">
        <v>327</v>
      </c>
      <c r="B106" s="30">
        <v>561</v>
      </c>
      <c r="C106" s="30" t="str">
        <f t="shared" si="36"/>
        <v>3</v>
      </c>
      <c r="D106" s="30" t="str">
        <f t="shared" si="37"/>
        <v>32</v>
      </c>
      <c r="E106" s="26" t="str">
        <f>LEFT(F106,3)</f>
        <v>323</v>
      </c>
      <c r="F106" s="26" t="s">
        <v>91</v>
      </c>
      <c r="G106" s="26" t="s">
        <v>205</v>
      </c>
      <c r="H106" s="26" t="s">
        <v>93</v>
      </c>
      <c r="I106" s="27">
        <v>4000</v>
      </c>
      <c r="J106" s="27">
        <f t="shared" ref="J106:J111" si="42">I106-K106</f>
        <v>0</v>
      </c>
      <c r="K106" s="27">
        <v>4000</v>
      </c>
      <c r="L106" s="27">
        <v>0</v>
      </c>
      <c r="M106" s="27">
        <v>0</v>
      </c>
      <c r="N106" s="27">
        <v>0</v>
      </c>
      <c r="O106" s="27">
        <v>4000</v>
      </c>
      <c r="P106" s="28">
        <v>0</v>
      </c>
      <c r="Q106" s="27">
        <f t="shared" si="38"/>
        <v>0</v>
      </c>
      <c r="R106" s="27"/>
      <c r="S106" s="27">
        <f t="shared" si="39"/>
        <v>0</v>
      </c>
      <c r="T106" s="27">
        <f t="shared" ref="T106:T111" si="43">U106</f>
        <v>2327</v>
      </c>
      <c r="U106" s="27">
        <v>2327</v>
      </c>
      <c r="V106" s="27">
        <f t="shared" si="32"/>
        <v>0</v>
      </c>
      <c r="W106" s="27"/>
      <c r="X106" s="27">
        <f t="shared" si="40"/>
        <v>2327</v>
      </c>
      <c r="Y106" s="27">
        <f t="shared" si="41"/>
        <v>0</v>
      </c>
    </row>
    <row r="107" spans="1:25" ht="20.100000000000001" customHeight="1" outlineLevel="1" x14ac:dyDescent="0.2">
      <c r="A107" s="26" t="s">
        <v>327</v>
      </c>
      <c r="B107" s="30">
        <v>561</v>
      </c>
      <c r="C107" s="30" t="str">
        <f t="shared" si="36"/>
        <v>3</v>
      </c>
      <c r="D107" s="30" t="str">
        <f t="shared" si="37"/>
        <v>32</v>
      </c>
      <c r="E107" s="26" t="str">
        <f>LEFT(F107,3)</f>
        <v>323</v>
      </c>
      <c r="F107" s="35">
        <v>3239</v>
      </c>
      <c r="G107" s="26" t="s">
        <v>206</v>
      </c>
      <c r="H107" s="26" t="s">
        <v>128</v>
      </c>
      <c r="I107" s="27">
        <v>0</v>
      </c>
      <c r="J107" s="27">
        <f t="shared" si="42"/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8">
        <v>0</v>
      </c>
      <c r="Q107" s="27">
        <f t="shared" si="38"/>
        <v>0</v>
      </c>
      <c r="R107" s="27"/>
      <c r="S107" s="27">
        <f t="shared" si="39"/>
        <v>0</v>
      </c>
      <c r="T107" s="27">
        <f t="shared" si="43"/>
        <v>786.71</v>
      </c>
      <c r="U107" s="27">
        <v>786.71</v>
      </c>
      <c r="V107" s="27">
        <f t="shared" si="32"/>
        <v>0</v>
      </c>
      <c r="W107" s="27"/>
      <c r="X107" s="27">
        <f t="shared" si="40"/>
        <v>786.71</v>
      </c>
      <c r="Y107" s="27">
        <f t="shared" si="41"/>
        <v>0</v>
      </c>
    </row>
    <row r="108" spans="1:25" ht="20.100000000000001" customHeight="1" outlineLevel="1" x14ac:dyDescent="0.2">
      <c r="A108" s="26" t="s">
        <v>327</v>
      </c>
      <c r="B108" s="30">
        <v>561</v>
      </c>
      <c r="C108" s="30" t="str">
        <f>LEFT(F108,1)</f>
        <v>3</v>
      </c>
      <c r="D108" s="30" t="str">
        <f>LEFT(F108,2)</f>
        <v>32</v>
      </c>
      <c r="E108" s="26" t="str">
        <f>LEFT(F108,3)</f>
        <v>323</v>
      </c>
      <c r="F108" s="26" t="s">
        <v>41</v>
      </c>
      <c r="G108" s="26" t="s">
        <v>206</v>
      </c>
      <c r="H108" s="26" t="s">
        <v>43</v>
      </c>
      <c r="I108" s="27">
        <v>0</v>
      </c>
      <c r="J108" s="27">
        <f t="shared" si="42"/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8">
        <v>0</v>
      </c>
      <c r="Q108" s="27">
        <f>J108</f>
        <v>0</v>
      </c>
      <c r="R108" s="27"/>
      <c r="S108" s="27">
        <f t="shared" si="39"/>
        <v>0</v>
      </c>
      <c r="T108" s="27">
        <f t="shared" si="43"/>
        <v>0</v>
      </c>
      <c r="U108" s="27"/>
      <c r="V108" s="27">
        <f t="shared" si="32"/>
        <v>0</v>
      </c>
      <c r="W108" s="27"/>
      <c r="X108" s="27">
        <f t="shared" si="40"/>
        <v>0</v>
      </c>
      <c r="Y108" s="27">
        <f t="shared" si="41"/>
        <v>0</v>
      </c>
    </row>
    <row r="109" spans="1:25" ht="20.100000000000001" customHeight="1" outlineLevel="1" x14ac:dyDescent="0.2">
      <c r="A109" s="26" t="s">
        <v>327</v>
      </c>
      <c r="B109" s="30">
        <v>561</v>
      </c>
      <c r="C109" s="30" t="str">
        <f t="shared" si="36"/>
        <v>3</v>
      </c>
      <c r="D109" s="30" t="str">
        <f t="shared" si="37"/>
        <v>32</v>
      </c>
      <c r="E109" s="26" t="str">
        <f>LEFT(F109,3)</f>
        <v>329</v>
      </c>
      <c r="F109" s="26" t="s">
        <v>154</v>
      </c>
      <c r="G109" s="26" t="s">
        <v>207</v>
      </c>
      <c r="H109" s="26" t="s">
        <v>156</v>
      </c>
      <c r="I109" s="27">
        <v>2000</v>
      </c>
      <c r="J109" s="27">
        <f t="shared" si="42"/>
        <v>195.56999999999994</v>
      </c>
      <c r="K109" s="27">
        <v>1804.43</v>
      </c>
      <c r="L109" s="27">
        <v>0</v>
      </c>
      <c r="M109" s="27">
        <v>195.57</v>
      </c>
      <c r="N109" s="27">
        <v>0</v>
      </c>
      <c r="O109" s="27">
        <v>1804.43</v>
      </c>
      <c r="P109" s="28">
        <v>9.8000000000000004E-2</v>
      </c>
      <c r="Q109" s="27">
        <f t="shared" si="38"/>
        <v>195.56999999999994</v>
      </c>
      <c r="R109" s="27"/>
      <c r="S109" s="27">
        <f t="shared" si="39"/>
        <v>195.56999999999994</v>
      </c>
      <c r="T109" s="27">
        <f t="shared" si="43"/>
        <v>267.64999999999998</v>
      </c>
      <c r="U109" s="27">
        <v>267.64999999999998</v>
      </c>
      <c r="V109" s="27">
        <f t="shared" si="32"/>
        <v>0</v>
      </c>
      <c r="W109" s="27"/>
      <c r="X109" s="27">
        <f t="shared" si="40"/>
        <v>267.64999999999998</v>
      </c>
      <c r="Y109" s="27">
        <f t="shared" si="41"/>
        <v>0</v>
      </c>
    </row>
    <row r="110" spans="1:25" ht="20.100000000000001" customHeight="1" x14ac:dyDescent="0.2">
      <c r="F110" s="216" t="s">
        <v>37</v>
      </c>
      <c r="G110" s="216"/>
      <c r="H110" s="216"/>
      <c r="I110" s="52">
        <f>SUMIFS(I111:I278,$A111:$A278,"A212401",$B111:$B278,"571")</f>
        <v>0</v>
      </c>
      <c r="J110" s="52">
        <f t="shared" ref="J110:V110" si="44">SUMIFS(J111:J278,$A111:$A278,"A212401",$B111:$B278,"571")</f>
        <v>0</v>
      </c>
      <c r="K110" s="52">
        <f t="shared" si="44"/>
        <v>0</v>
      </c>
      <c r="L110" s="52">
        <f t="shared" si="44"/>
        <v>0</v>
      </c>
      <c r="M110" s="52">
        <f t="shared" si="44"/>
        <v>0</v>
      </c>
      <c r="N110" s="52">
        <f t="shared" si="44"/>
        <v>0</v>
      </c>
      <c r="O110" s="52">
        <f t="shared" si="44"/>
        <v>0</v>
      </c>
      <c r="P110" s="53">
        <v>0</v>
      </c>
      <c r="Q110" s="52">
        <f t="shared" si="44"/>
        <v>0</v>
      </c>
      <c r="R110" s="52">
        <f t="shared" si="44"/>
        <v>0</v>
      </c>
      <c r="S110" s="52">
        <f t="shared" si="44"/>
        <v>0</v>
      </c>
      <c r="T110" s="52">
        <f>SUMIFS(T111:T278,$A111:$A278,"A212401",$B111:$B278,"571")</f>
        <v>0</v>
      </c>
      <c r="U110" s="52">
        <f t="shared" si="44"/>
        <v>0</v>
      </c>
      <c r="V110" s="52">
        <f t="shared" si="44"/>
        <v>0</v>
      </c>
      <c r="W110" s="52"/>
      <c r="X110" s="52">
        <f>SUMIFS(X111:X278,$A111:$A278,"A212401",$B111:$B278,"571")</f>
        <v>0</v>
      </c>
      <c r="Y110" s="52">
        <f>SUMIFS(Y111:Y278,$A111:$A278,"A212401",$B111:$B278,"571")</f>
        <v>0</v>
      </c>
    </row>
    <row r="111" spans="1:25" ht="20.100000000000001" customHeight="1" outlineLevel="1" x14ac:dyDescent="0.2">
      <c r="A111" s="26" t="s">
        <v>327</v>
      </c>
      <c r="B111" s="30">
        <v>571</v>
      </c>
      <c r="C111" s="30" t="str">
        <f>LEFT(F111,1)</f>
        <v>3</v>
      </c>
      <c r="D111" s="30" t="str">
        <f>LEFT(F111,2)</f>
        <v>32</v>
      </c>
      <c r="E111" s="26" t="str">
        <f>LEFT(F111,3)</f>
        <v>323</v>
      </c>
      <c r="F111" s="26" t="s">
        <v>41</v>
      </c>
      <c r="G111" s="26" t="s">
        <v>208</v>
      </c>
      <c r="H111" s="26" t="s">
        <v>43</v>
      </c>
      <c r="I111" s="27">
        <v>0</v>
      </c>
      <c r="J111" s="27">
        <f t="shared" si="42"/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8">
        <v>0</v>
      </c>
      <c r="Q111" s="27">
        <f>J111</f>
        <v>0</v>
      </c>
      <c r="R111" s="27"/>
      <c r="S111" s="27">
        <f>R111+Q111</f>
        <v>0</v>
      </c>
      <c r="T111" s="27">
        <f t="shared" si="43"/>
        <v>0</v>
      </c>
      <c r="U111" s="27">
        <v>0</v>
      </c>
      <c r="V111" s="27">
        <f t="shared" si="32"/>
        <v>0</v>
      </c>
      <c r="W111" s="27"/>
      <c r="X111" s="27">
        <f>U111+W111</f>
        <v>0</v>
      </c>
      <c r="Y111" s="27">
        <f>T111-X111</f>
        <v>0</v>
      </c>
    </row>
    <row r="112" spans="1:25" ht="35.1" customHeight="1" x14ac:dyDescent="0.2">
      <c r="F112" s="222" t="s">
        <v>209</v>
      </c>
      <c r="G112" s="222"/>
      <c r="H112" s="222"/>
      <c r="I112" s="39">
        <f>I113+I125+I138+I156</f>
        <v>312300</v>
      </c>
      <c r="J112" s="39">
        <f t="shared" ref="J112:V112" si="45">J113+J125+J138+J156</f>
        <v>228626.01</v>
      </c>
      <c r="K112" s="39">
        <f t="shared" si="45"/>
        <v>83673.989999999991</v>
      </c>
      <c r="L112" s="39">
        <f t="shared" si="45"/>
        <v>0</v>
      </c>
      <c r="M112" s="39">
        <f t="shared" si="45"/>
        <v>228626.01000000004</v>
      </c>
      <c r="N112" s="39">
        <f t="shared" si="45"/>
        <v>0</v>
      </c>
      <c r="O112" s="39">
        <f t="shared" si="45"/>
        <v>83773.989999999991</v>
      </c>
      <c r="P112" s="40">
        <v>0.73199999999999998</v>
      </c>
      <c r="Q112" s="39">
        <f t="shared" si="45"/>
        <v>228626.01</v>
      </c>
      <c r="R112" s="39">
        <f t="shared" si="45"/>
        <v>0</v>
      </c>
      <c r="S112" s="39">
        <f t="shared" si="45"/>
        <v>228626.01</v>
      </c>
      <c r="T112" s="39">
        <f>T113+T125+T138+T156</f>
        <v>343123.99</v>
      </c>
      <c r="U112" s="39">
        <f t="shared" si="45"/>
        <v>342414.91</v>
      </c>
      <c r="V112" s="39">
        <f t="shared" si="45"/>
        <v>709.08000000000266</v>
      </c>
      <c r="W112" s="39"/>
      <c r="X112" s="39">
        <f>X113+X125+X138+X156</f>
        <v>342374.16</v>
      </c>
      <c r="Y112" s="39">
        <f>Y113+Y125+Y138+Y156</f>
        <v>749.83000000000266</v>
      </c>
    </row>
    <row r="113" spans="1:27" ht="20.100000000000001" customHeight="1" x14ac:dyDescent="0.2">
      <c r="F113" s="216" t="s">
        <v>56</v>
      </c>
      <c r="G113" s="216"/>
      <c r="H113" s="216"/>
      <c r="I113" s="52">
        <f>SUMIFS(I114:I281,$A114:$A281,"A212402",$B114:$B281,"112")</f>
        <v>180000</v>
      </c>
      <c r="J113" s="52">
        <f t="shared" ref="J113:V113" si="46">SUMIFS(J114:J281,$A114:$A281,"A212402",$B114:$B281,"112")</f>
        <v>176005.63</v>
      </c>
      <c r="K113" s="52">
        <f t="shared" si="46"/>
        <v>3994.3700000000008</v>
      </c>
      <c r="L113" s="52">
        <f t="shared" si="46"/>
        <v>0</v>
      </c>
      <c r="M113" s="52">
        <f t="shared" si="46"/>
        <v>176005.63</v>
      </c>
      <c r="N113" s="52">
        <f t="shared" si="46"/>
        <v>0</v>
      </c>
      <c r="O113" s="52">
        <f t="shared" si="46"/>
        <v>3994.3700000000008</v>
      </c>
      <c r="P113" s="53">
        <v>0.97799999999999998</v>
      </c>
      <c r="Q113" s="52">
        <f t="shared" si="46"/>
        <v>176005.63</v>
      </c>
      <c r="R113" s="52">
        <f t="shared" si="46"/>
        <v>0</v>
      </c>
      <c r="S113" s="52">
        <f t="shared" si="46"/>
        <v>176005.63</v>
      </c>
      <c r="T113" s="52">
        <f>SUMIFS(T114:T281,$A114:$A281,"A212402",$B114:$B281,"112")</f>
        <v>176005.63</v>
      </c>
      <c r="U113" s="52">
        <f t="shared" si="46"/>
        <v>175296.55</v>
      </c>
      <c r="V113" s="52">
        <f t="shared" si="46"/>
        <v>709.08000000000266</v>
      </c>
      <c r="W113" s="52"/>
      <c r="X113" s="52">
        <f>SUMIFS(X114:X281,$A114:$A281,"A212402",$B114:$B281,"112")</f>
        <v>175296.55</v>
      </c>
      <c r="Y113" s="52">
        <f>SUMIFS(Y114:Y281,$A114:$A281,"A212402",$B114:$B281,"112")</f>
        <v>709.08000000000266</v>
      </c>
    </row>
    <row r="114" spans="1:27" ht="20.100000000000001" customHeight="1" outlineLevel="1" x14ac:dyDescent="0.2">
      <c r="A114" s="26" t="s">
        <v>328</v>
      </c>
      <c r="B114" s="30">
        <v>112</v>
      </c>
      <c r="C114" s="30" t="str">
        <f t="shared" ref="C114:C124" si="47">LEFT(F114,1)</f>
        <v>3</v>
      </c>
      <c r="D114" s="30" t="str">
        <f t="shared" ref="D114:D124" si="48">LEFT(F114,2)</f>
        <v>32</v>
      </c>
      <c r="E114" s="26" t="str">
        <f t="shared" ref="E114:E163" si="49">LEFT(F114,3)</f>
        <v>321</v>
      </c>
      <c r="F114" s="26" t="s">
        <v>172</v>
      </c>
      <c r="G114" s="26" t="s">
        <v>210</v>
      </c>
      <c r="H114" s="26" t="s">
        <v>174</v>
      </c>
      <c r="I114" s="27">
        <v>5000</v>
      </c>
      <c r="J114" s="27">
        <v>0</v>
      </c>
      <c r="K114" s="27">
        <v>5000</v>
      </c>
      <c r="L114" s="27">
        <v>0</v>
      </c>
      <c r="M114" s="27">
        <v>0</v>
      </c>
      <c r="N114" s="27">
        <v>0</v>
      </c>
      <c r="O114" s="27">
        <v>5000</v>
      </c>
      <c r="P114" s="28">
        <v>0</v>
      </c>
      <c r="Q114" s="27">
        <f t="shared" ref="Q114:Q124" si="50">J114</f>
        <v>0</v>
      </c>
      <c r="R114" s="27"/>
      <c r="S114" s="27">
        <f t="shared" ref="S114:S124" si="51">R114+Q114</f>
        <v>0</v>
      </c>
      <c r="T114" s="27">
        <f t="shared" ref="T114:T124" si="52">S114</f>
        <v>0</v>
      </c>
      <c r="U114" s="27"/>
      <c r="V114" s="27">
        <f t="shared" ref="V114:V124" si="53">S114-U114</f>
        <v>0</v>
      </c>
      <c r="W114" s="27"/>
      <c r="X114" s="27">
        <f t="shared" ref="X114:X124" si="54">U114+W114</f>
        <v>0</v>
      </c>
      <c r="Y114" s="27">
        <f t="shared" ref="Y114:Y124" si="55">T114-X114</f>
        <v>0</v>
      </c>
    </row>
    <row r="115" spans="1:27" ht="20.100000000000001" customHeight="1" outlineLevel="1" x14ac:dyDescent="0.2">
      <c r="A115" s="26" t="s">
        <v>328</v>
      </c>
      <c r="B115" s="30">
        <v>112</v>
      </c>
      <c r="C115" s="30" t="str">
        <f t="shared" si="47"/>
        <v>3</v>
      </c>
      <c r="D115" s="30" t="str">
        <f t="shared" si="48"/>
        <v>32</v>
      </c>
      <c r="E115" s="26" t="str">
        <f t="shared" si="49"/>
        <v>322</v>
      </c>
      <c r="F115" s="26" t="s">
        <v>72</v>
      </c>
      <c r="G115" s="26" t="s">
        <v>211</v>
      </c>
      <c r="H115" s="26" t="s">
        <v>74</v>
      </c>
      <c r="I115" s="27">
        <v>60000</v>
      </c>
      <c r="J115" s="27">
        <v>60000</v>
      </c>
      <c r="K115" s="27">
        <v>0</v>
      </c>
      <c r="L115" s="27">
        <v>0</v>
      </c>
      <c r="M115" s="27">
        <v>60000</v>
      </c>
      <c r="N115" s="27">
        <v>0</v>
      </c>
      <c r="O115" s="27">
        <v>0</v>
      </c>
      <c r="P115" s="28">
        <v>1</v>
      </c>
      <c r="Q115" s="27">
        <f t="shared" si="50"/>
        <v>60000</v>
      </c>
      <c r="R115" s="27"/>
      <c r="S115" s="27">
        <f t="shared" si="51"/>
        <v>60000</v>
      </c>
      <c r="T115" s="27">
        <f t="shared" si="52"/>
        <v>60000</v>
      </c>
      <c r="U115" s="27">
        <v>60724.45</v>
      </c>
      <c r="V115" s="27">
        <f t="shared" si="53"/>
        <v>-724.44999999999709</v>
      </c>
      <c r="W115" s="27"/>
      <c r="X115" s="27">
        <f t="shared" si="54"/>
        <v>60724.45</v>
      </c>
      <c r="Y115" s="27">
        <f t="shared" si="55"/>
        <v>-724.44999999999709</v>
      </c>
    </row>
    <row r="116" spans="1:27" ht="20.100000000000001" customHeight="1" outlineLevel="1" x14ac:dyDescent="0.2">
      <c r="A116" s="26" t="s">
        <v>328</v>
      </c>
      <c r="B116" s="30">
        <v>112</v>
      </c>
      <c r="C116" s="30" t="str">
        <f t="shared" si="47"/>
        <v>3</v>
      </c>
      <c r="D116" s="30" t="str">
        <f t="shared" si="48"/>
        <v>32</v>
      </c>
      <c r="E116" s="26" t="str">
        <f t="shared" si="49"/>
        <v>322</v>
      </c>
      <c r="F116" s="26" t="s">
        <v>75</v>
      </c>
      <c r="G116" s="26" t="s">
        <v>212</v>
      </c>
      <c r="H116" s="26" t="s">
        <v>77</v>
      </c>
      <c r="I116" s="27">
        <v>11200</v>
      </c>
      <c r="J116" s="27">
        <v>5063.03</v>
      </c>
      <c r="K116" s="27">
        <v>6136.97</v>
      </c>
      <c r="L116" s="27">
        <v>0</v>
      </c>
      <c r="M116" s="27">
        <v>5063.03</v>
      </c>
      <c r="N116" s="27">
        <v>0</v>
      </c>
      <c r="O116" s="27">
        <v>6136.97</v>
      </c>
      <c r="P116" s="28">
        <v>0.45200000000000001</v>
      </c>
      <c r="Q116" s="27">
        <f t="shared" si="50"/>
        <v>5063.03</v>
      </c>
      <c r="R116" s="27"/>
      <c r="S116" s="27">
        <f t="shared" si="51"/>
        <v>5063.03</v>
      </c>
      <c r="T116" s="27">
        <f t="shared" si="52"/>
        <v>5063.03</v>
      </c>
      <c r="U116" s="27">
        <v>3629.5</v>
      </c>
      <c r="V116" s="27">
        <f t="shared" si="53"/>
        <v>1433.5299999999997</v>
      </c>
      <c r="W116" s="27"/>
      <c r="X116" s="27">
        <f t="shared" si="54"/>
        <v>3629.5</v>
      </c>
      <c r="Y116" s="27">
        <f t="shared" si="55"/>
        <v>1433.5299999999997</v>
      </c>
    </row>
    <row r="117" spans="1:27" ht="20.100000000000001" customHeight="1" outlineLevel="1" x14ac:dyDescent="0.2">
      <c r="A117" s="26" t="s">
        <v>328</v>
      </c>
      <c r="B117" s="30">
        <v>112</v>
      </c>
      <c r="C117" s="30" t="str">
        <f t="shared" si="47"/>
        <v>3</v>
      </c>
      <c r="D117" s="30" t="str">
        <f t="shared" si="48"/>
        <v>32</v>
      </c>
      <c r="E117" s="26" t="str">
        <f t="shared" si="49"/>
        <v>323</v>
      </c>
      <c r="F117" s="26" t="s">
        <v>87</v>
      </c>
      <c r="G117" s="26" t="s">
        <v>213</v>
      </c>
      <c r="H117" s="26" t="s">
        <v>89</v>
      </c>
      <c r="I117" s="27">
        <v>0</v>
      </c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27">
        <v>0</v>
      </c>
      <c r="P117" s="28">
        <v>0</v>
      </c>
      <c r="Q117" s="27">
        <f t="shared" si="50"/>
        <v>0</v>
      </c>
      <c r="R117" s="27"/>
      <c r="S117" s="27">
        <f t="shared" si="51"/>
        <v>0</v>
      </c>
      <c r="T117" s="27">
        <f t="shared" si="52"/>
        <v>0</v>
      </c>
      <c r="U117" s="27"/>
      <c r="V117" s="27">
        <f t="shared" si="53"/>
        <v>0</v>
      </c>
      <c r="W117" s="27"/>
      <c r="X117" s="27">
        <f t="shared" si="54"/>
        <v>0</v>
      </c>
      <c r="Y117" s="27">
        <f t="shared" si="55"/>
        <v>0</v>
      </c>
    </row>
    <row r="118" spans="1:27" ht="20.100000000000001" customHeight="1" outlineLevel="1" x14ac:dyDescent="0.2">
      <c r="A118" s="26" t="s">
        <v>328</v>
      </c>
      <c r="B118" s="30">
        <v>112</v>
      </c>
      <c r="C118" s="30" t="str">
        <f t="shared" si="47"/>
        <v>3</v>
      </c>
      <c r="D118" s="30" t="str">
        <f t="shared" si="48"/>
        <v>32</v>
      </c>
      <c r="E118" s="26" t="str">
        <f t="shared" si="49"/>
        <v>323</v>
      </c>
      <c r="F118" s="26" t="s">
        <v>38</v>
      </c>
      <c r="G118" s="26" t="s">
        <v>214</v>
      </c>
      <c r="H118" s="26" t="s">
        <v>40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27">
        <v>0</v>
      </c>
      <c r="P118" s="28">
        <v>0</v>
      </c>
      <c r="Q118" s="27">
        <f t="shared" si="50"/>
        <v>0</v>
      </c>
      <c r="R118" s="27"/>
      <c r="S118" s="27">
        <f t="shared" si="51"/>
        <v>0</v>
      </c>
      <c r="T118" s="27">
        <f t="shared" si="52"/>
        <v>0</v>
      </c>
      <c r="U118" s="27"/>
      <c r="V118" s="27">
        <f t="shared" si="53"/>
        <v>0</v>
      </c>
      <c r="W118" s="27"/>
      <c r="X118" s="27">
        <f t="shared" si="54"/>
        <v>0</v>
      </c>
      <c r="Y118" s="27">
        <f t="shared" si="55"/>
        <v>0</v>
      </c>
    </row>
    <row r="119" spans="1:27" ht="20.100000000000001" customHeight="1" outlineLevel="1" x14ac:dyDescent="0.2">
      <c r="A119" s="26" t="s">
        <v>328</v>
      </c>
      <c r="B119" s="30">
        <v>112</v>
      </c>
      <c r="C119" s="30" t="str">
        <f t="shared" si="47"/>
        <v>3</v>
      </c>
      <c r="D119" s="30" t="str">
        <f t="shared" si="48"/>
        <v>32</v>
      </c>
      <c r="E119" s="26" t="str">
        <f t="shared" si="49"/>
        <v>323</v>
      </c>
      <c r="F119" s="26" t="s">
        <v>91</v>
      </c>
      <c r="G119" s="26" t="s">
        <v>215</v>
      </c>
      <c r="H119" s="26" t="s">
        <v>93</v>
      </c>
      <c r="I119" s="27">
        <v>900</v>
      </c>
      <c r="J119" s="27">
        <v>591.25</v>
      </c>
      <c r="K119" s="27">
        <v>308.75</v>
      </c>
      <c r="L119" s="27">
        <v>0</v>
      </c>
      <c r="M119" s="27">
        <v>591.25</v>
      </c>
      <c r="N119" s="27">
        <v>0</v>
      </c>
      <c r="O119" s="27">
        <v>308.75</v>
      </c>
      <c r="P119" s="28">
        <v>0.65700000000000003</v>
      </c>
      <c r="Q119" s="27">
        <f t="shared" si="50"/>
        <v>591.25</v>
      </c>
      <c r="R119" s="27"/>
      <c r="S119" s="27">
        <f t="shared" si="51"/>
        <v>591.25</v>
      </c>
      <c r="T119" s="27">
        <f t="shared" si="52"/>
        <v>591.25</v>
      </c>
      <c r="U119" s="27">
        <v>591.25</v>
      </c>
      <c r="V119" s="27">
        <f t="shared" si="53"/>
        <v>0</v>
      </c>
      <c r="W119" s="27"/>
      <c r="X119" s="27">
        <f t="shared" si="54"/>
        <v>591.25</v>
      </c>
      <c r="Y119" s="27">
        <f t="shared" si="55"/>
        <v>0</v>
      </c>
    </row>
    <row r="120" spans="1:27" ht="20.100000000000001" customHeight="1" outlineLevel="1" x14ac:dyDescent="0.2">
      <c r="A120" s="26" t="s">
        <v>328</v>
      </c>
      <c r="B120" s="30">
        <v>112</v>
      </c>
      <c r="C120" s="30" t="str">
        <f t="shared" si="47"/>
        <v>3</v>
      </c>
      <c r="D120" s="30" t="str">
        <f t="shared" si="48"/>
        <v>32</v>
      </c>
      <c r="E120" s="26" t="str">
        <f t="shared" si="49"/>
        <v>323</v>
      </c>
      <c r="F120" s="26" t="s">
        <v>97</v>
      </c>
      <c r="G120" s="26" t="s">
        <v>216</v>
      </c>
      <c r="H120" s="26" t="s">
        <v>99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8">
        <v>0</v>
      </c>
      <c r="Q120" s="27">
        <f t="shared" si="50"/>
        <v>0</v>
      </c>
      <c r="R120" s="27"/>
      <c r="S120" s="27">
        <f t="shared" si="51"/>
        <v>0</v>
      </c>
      <c r="T120" s="27">
        <f t="shared" si="52"/>
        <v>0</v>
      </c>
      <c r="U120" s="27"/>
      <c r="V120" s="27">
        <f t="shared" si="53"/>
        <v>0</v>
      </c>
      <c r="W120" s="27"/>
      <c r="X120" s="27">
        <f t="shared" si="54"/>
        <v>0</v>
      </c>
      <c r="Y120" s="27">
        <f t="shared" si="55"/>
        <v>0</v>
      </c>
    </row>
    <row r="121" spans="1:27" ht="20.100000000000001" customHeight="1" outlineLevel="1" x14ac:dyDescent="0.2">
      <c r="A121" s="26" t="s">
        <v>328</v>
      </c>
      <c r="B121" s="30">
        <v>112</v>
      </c>
      <c r="C121" s="30" t="str">
        <f t="shared" si="47"/>
        <v>3</v>
      </c>
      <c r="D121" s="30" t="str">
        <f t="shared" si="48"/>
        <v>32</v>
      </c>
      <c r="E121" s="26" t="str">
        <f t="shared" si="49"/>
        <v>323</v>
      </c>
      <c r="F121" s="26" t="s">
        <v>41</v>
      </c>
      <c r="G121" s="26" t="s">
        <v>217</v>
      </c>
      <c r="H121" s="26" t="s">
        <v>43</v>
      </c>
      <c r="I121" s="27">
        <v>58800</v>
      </c>
      <c r="J121" s="27">
        <v>74866.350000000006</v>
      </c>
      <c r="K121" s="27">
        <v>-16066.35</v>
      </c>
      <c r="L121" s="27">
        <v>0</v>
      </c>
      <c r="M121" s="27">
        <v>74866.350000000006</v>
      </c>
      <c r="N121" s="27">
        <v>0</v>
      </c>
      <c r="O121" s="27">
        <v>-16066.35</v>
      </c>
      <c r="P121" s="28">
        <v>1.2729999999999999</v>
      </c>
      <c r="Q121" s="27">
        <f t="shared" si="50"/>
        <v>74866.350000000006</v>
      </c>
      <c r="R121" s="27"/>
      <c r="S121" s="27">
        <f t="shared" si="51"/>
        <v>74866.350000000006</v>
      </c>
      <c r="T121" s="27">
        <f t="shared" si="52"/>
        <v>74866.350000000006</v>
      </c>
      <c r="U121" s="27">
        <v>74866.350000000006</v>
      </c>
      <c r="V121" s="27">
        <f t="shared" si="53"/>
        <v>0</v>
      </c>
      <c r="W121" s="27"/>
      <c r="X121" s="27">
        <f t="shared" si="54"/>
        <v>74866.350000000006</v>
      </c>
      <c r="Y121" s="27">
        <f t="shared" si="55"/>
        <v>0</v>
      </c>
    </row>
    <row r="122" spans="1:27" ht="20.100000000000001" customHeight="1" outlineLevel="1" x14ac:dyDescent="0.2">
      <c r="A122" s="26" t="s">
        <v>328</v>
      </c>
      <c r="B122" s="30">
        <v>112</v>
      </c>
      <c r="C122" s="30" t="str">
        <f t="shared" si="47"/>
        <v>3</v>
      </c>
      <c r="D122" s="30" t="str">
        <f t="shared" si="48"/>
        <v>32</v>
      </c>
      <c r="E122" s="26" t="str">
        <f t="shared" si="49"/>
        <v>323</v>
      </c>
      <c r="F122" s="26" t="s">
        <v>104</v>
      </c>
      <c r="G122" s="26" t="s">
        <v>218</v>
      </c>
      <c r="H122" s="26" t="s">
        <v>106</v>
      </c>
      <c r="I122" s="27">
        <v>23000</v>
      </c>
      <c r="J122" s="27">
        <v>23000</v>
      </c>
      <c r="K122" s="27">
        <v>0</v>
      </c>
      <c r="L122" s="27">
        <v>0</v>
      </c>
      <c r="M122" s="27">
        <v>23000</v>
      </c>
      <c r="N122" s="27">
        <v>0</v>
      </c>
      <c r="O122" s="27">
        <v>0</v>
      </c>
      <c r="P122" s="28">
        <v>1</v>
      </c>
      <c r="Q122" s="27">
        <f t="shared" si="50"/>
        <v>23000</v>
      </c>
      <c r="R122" s="27"/>
      <c r="S122" s="27">
        <f t="shared" si="51"/>
        <v>23000</v>
      </c>
      <c r="T122" s="27">
        <f t="shared" si="52"/>
        <v>23000</v>
      </c>
      <c r="U122" s="27">
        <v>23000</v>
      </c>
      <c r="V122" s="27">
        <f t="shared" si="53"/>
        <v>0</v>
      </c>
      <c r="W122" s="27"/>
      <c r="X122" s="27">
        <f t="shared" si="54"/>
        <v>23000</v>
      </c>
      <c r="Y122" s="27">
        <f t="shared" si="55"/>
        <v>0</v>
      </c>
    </row>
    <row r="123" spans="1:27" ht="20.100000000000001" customHeight="1" outlineLevel="1" x14ac:dyDescent="0.2">
      <c r="A123" s="26" t="s">
        <v>328</v>
      </c>
      <c r="B123" s="30">
        <v>112</v>
      </c>
      <c r="C123" s="30" t="str">
        <f t="shared" si="47"/>
        <v>3</v>
      </c>
      <c r="D123" s="30" t="str">
        <f t="shared" si="48"/>
        <v>32</v>
      </c>
      <c r="E123" s="26" t="str">
        <f t="shared" si="49"/>
        <v>323</v>
      </c>
      <c r="F123" s="26" t="s">
        <v>126</v>
      </c>
      <c r="G123" s="26" t="s">
        <v>219</v>
      </c>
      <c r="H123" s="26" t="s">
        <v>128</v>
      </c>
      <c r="I123" s="27">
        <v>21100</v>
      </c>
      <c r="J123" s="27">
        <v>12485</v>
      </c>
      <c r="K123" s="27">
        <v>8615</v>
      </c>
      <c r="L123" s="27">
        <v>0</v>
      </c>
      <c r="M123" s="27">
        <v>12485</v>
      </c>
      <c r="N123" s="27">
        <v>0</v>
      </c>
      <c r="O123" s="27">
        <v>8615</v>
      </c>
      <c r="P123" s="28">
        <v>0.59199999999999997</v>
      </c>
      <c r="Q123" s="27">
        <f t="shared" si="50"/>
        <v>12485</v>
      </c>
      <c r="R123" s="27"/>
      <c r="S123" s="27">
        <f t="shared" si="51"/>
        <v>12485</v>
      </c>
      <c r="T123" s="27">
        <f t="shared" si="52"/>
        <v>12485</v>
      </c>
      <c r="U123" s="27">
        <v>12485</v>
      </c>
      <c r="V123" s="27">
        <f t="shared" si="53"/>
        <v>0</v>
      </c>
      <c r="W123" s="27"/>
      <c r="X123" s="27">
        <f t="shared" si="54"/>
        <v>12485</v>
      </c>
      <c r="Y123" s="27">
        <f t="shared" si="55"/>
        <v>0</v>
      </c>
    </row>
    <row r="124" spans="1:27" ht="20.100000000000001" customHeight="1" outlineLevel="1" x14ac:dyDescent="0.2">
      <c r="A124" s="26" t="s">
        <v>328</v>
      </c>
      <c r="B124" s="30">
        <v>112</v>
      </c>
      <c r="C124" s="30" t="str">
        <f t="shared" si="47"/>
        <v>3</v>
      </c>
      <c r="D124" s="30" t="str">
        <f t="shared" si="48"/>
        <v>32</v>
      </c>
      <c r="E124" s="26" t="str">
        <f t="shared" si="49"/>
        <v>329</v>
      </c>
      <c r="F124" s="26" t="s">
        <v>154</v>
      </c>
      <c r="G124" s="26" t="s">
        <v>220</v>
      </c>
      <c r="H124" s="26" t="s">
        <v>156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v>0</v>
      </c>
      <c r="P124" s="28">
        <v>0</v>
      </c>
      <c r="Q124" s="27">
        <f t="shared" si="50"/>
        <v>0</v>
      </c>
      <c r="R124" s="27"/>
      <c r="S124" s="27">
        <f t="shared" si="51"/>
        <v>0</v>
      </c>
      <c r="T124" s="27">
        <f t="shared" si="52"/>
        <v>0</v>
      </c>
      <c r="U124" s="27"/>
      <c r="V124" s="27">
        <f t="shared" si="53"/>
        <v>0</v>
      </c>
      <c r="W124" s="27"/>
      <c r="X124" s="27">
        <f t="shared" si="54"/>
        <v>0</v>
      </c>
      <c r="Y124" s="27">
        <f t="shared" si="55"/>
        <v>0</v>
      </c>
    </row>
    <row r="125" spans="1:27" ht="20.100000000000001" customHeight="1" x14ac:dyDescent="0.2">
      <c r="F125" s="216" t="s">
        <v>129</v>
      </c>
      <c r="G125" s="216"/>
      <c r="H125" s="216"/>
      <c r="I125" s="52">
        <f>SUMIFS(I126:I293,$A126:$A293,"A212402",$B126:$B293,"431")</f>
        <v>56300</v>
      </c>
      <c r="J125" s="52">
        <f t="shared" ref="J125:V125" si="56">SUMIFS(J126:J293,$A126:$A293,"A212402",$B126:$B293,"431")</f>
        <v>32214.83</v>
      </c>
      <c r="K125" s="52">
        <f t="shared" si="56"/>
        <v>24085.17</v>
      </c>
      <c r="L125" s="52">
        <f t="shared" si="56"/>
        <v>0</v>
      </c>
      <c r="M125" s="52">
        <f t="shared" si="56"/>
        <v>32214.83</v>
      </c>
      <c r="N125" s="52">
        <f t="shared" si="56"/>
        <v>0</v>
      </c>
      <c r="O125" s="52">
        <f t="shared" si="56"/>
        <v>24085.17</v>
      </c>
      <c r="P125" s="53">
        <v>0.57199999999999995</v>
      </c>
      <c r="Q125" s="52">
        <f t="shared" si="56"/>
        <v>32214.83</v>
      </c>
      <c r="R125" s="52">
        <f t="shared" si="56"/>
        <v>0</v>
      </c>
      <c r="S125" s="52">
        <f t="shared" si="56"/>
        <v>32214.83</v>
      </c>
      <c r="T125" s="52">
        <f>SUMIFS(T126:T293,$A126:$A293,"A212402",$B126:$B293,"431")</f>
        <v>94772.010000000009</v>
      </c>
      <c r="U125" s="52">
        <f t="shared" si="56"/>
        <v>94772.010000000009</v>
      </c>
      <c r="V125" s="52">
        <f t="shared" si="56"/>
        <v>0</v>
      </c>
      <c r="W125" s="52"/>
      <c r="X125" s="52">
        <f>SUMIFS(X126:X293,$A126:$A293,"A212402",$B126:$B293,"431")</f>
        <v>94731.260000000009</v>
      </c>
      <c r="Y125" s="52">
        <f>SUMIFS(Y126:Y293,$A126:$A293,"A212402",$B126:$B293,"431")</f>
        <v>40.75</v>
      </c>
      <c r="Z125" s="38" t="s">
        <v>347</v>
      </c>
      <c r="AA125" s="38" t="s">
        <v>349</v>
      </c>
    </row>
    <row r="126" spans="1:27" ht="20.100000000000001" customHeight="1" outlineLevel="1" x14ac:dyDescent="0.2">
      <c r="A126" s="26" t="s">
        <v>328</v>
      </c>
      <c r="B126" s="30">
        <v>431</v>
      </c>
      <c r="C126" s="30" t="str">
        <f t="shared" ref="C126:C137" si="57">LEFT(F126,1)</f>
        <v>3</v>
      </c>
      <c r="D126" s="30" t="str">
        <f t="shared" ref="D126:D137" si="58">LEFT(F126,2)</f>
        <v>32</v>
      </c>
      <c r="E126" s="26" t="str">
        <f t="shared" si="49"/>
        <v>321</v>
      </c>
      <c r="F126" s="26" t="s">
        <v>130</v>
      </c>
      <c r="G126" s="26" t="s">
        <v>221</v>
      </c>
      <c r="H126" s="26" t="s">
        <v>132</v>
      </c>
      <c r="I126" s="27">
        <v>20000</v>
      </c>
      <c r="J126" s="27">
        <f t="shared" ref="J126:J137" si="59">I126-K126</f>
        <v>11071.82</v>
      </c>
      <c r="K126" s="27">
        <v>8928.18</v>
      </c>
      <c r="L126" s="27">
        <v>0</v>
      </c>
      <c r="M126" s="27">
        <v>11071.82</v>
      </c>
      <c r="N126" s="27">
        <v>0</v>
      </c>
      <c r="O126" s="27">
        <v>8928.18</v>
      </c>
      <c r="P126" s="28">
        <v>0.55400000000000005</v>
      </c>
      <c r="Q126" s="27">
        <f t="shared" ref="Q126:Q137" si="60">J126</f>
        <v>11071.82</v>
      </c>
      <c r="R126" s="27"/>
      <c r="S126" s="27">
        <f t="shared" ref="S126:S137" si="61">R126+Q126</f>
        <v>11071.82</v>
      </c>
      <c r="T126" s="27">
        <f t="shared" ref="T126:T163" si="62">U126</f>
        <v>16665.310000000001</v>
      </c>
      <c r="U126" s="27">
        <v>16665.310000000001</v>
      </c>
      <c r="V126" s="27">
        <f t="shared" ref="V126:V137" si="63">T126-U126</f>
        <v>0</v>
      </c>
      <c r="W126" s="27"/>
      <c r="X126" s="27">
        <f t="shared" ref="X126:X137" si="64">U126+W126</f>
        <v>16665.310000000001</v>
      </c>
      <c r="Y126" s="27">
        <f t="shared" ref="Y126:Y137" si="65">T126-X126</f>
        <v>0</v>
      </c>
    </row>
    <row r="127" spans="1:27" ht="20.100000000000001" customHeight="1" outlineLevel="1" x14ac:dyDescent="0.2">
      <c r="A127" s="26" t="s">
        <v>328</v>
      </c>
      <c r="B127" s="30">
        <v>431</v>
      </c>
      <c r="C127" s="30" t="str">
        <f t="shared" si="57"/>
        <v>3</v>
      </c>
      <c r="D127" s="30" t="str">
        <f t="shared" si="58"/>
        <v>32</v>
      </c>
      <c r="E127" s="26" t="str">
        <f t="shared" si="49"/>
        <v>321</v>
      </c>
      <c r="F127" s="26" t="s">
        <v>69</v>
      </c>
      <c r="G127" s="26" t="s">
        <v>222</v>
      </c>
      <c r="H127" s="26" t="s">
        <v>71</v>
      </c>
      <c r="I127" s="27">
        <v>2000</v>
      </c>
      <c r="J127" s="27">
        <f t="shared" si="59"/>
        <v>1371.47</v>
      </c>
      <c r="K127" s="27">
        <v>628.53</v>
      </c>
      <c r="L127" s="27">
        <v>0</v>
      </c>
      <c r="M127" s="27">
        <v>1371.47</v>
      </c>
      <c r="N127" s="27">
        <v>0</v>
      </c>
      <c r="O127" s="27">
        <v>628.53</v>
      </c>
      <c r="P127" s="28">
        <v>0.68600000000000005</v>
      </c>
      <c r="Q127" s="27">
        <f t="shared" si="60"/>
        <v>1371.47</v>
      </c>
      <c r="R127" s="27"/>
      <c r="S127" s="27">
        <f t="shared" si="61"/>
        <v>1371.47</v>
      </c>
      <c r="T127" s="27">
        <f t="shared" si="62"/>
        <v>1411.47</v>
      </c>
      <c r="U127" s="27">
        <v>1411.47</v>
      </c>
      <c r="V127" s="27">
        <f t="shared" si="63"/>
        <v>0</v>
      </c>
      <c r="W127" s="27"/>
      <c r="X127" s="27">
        <f t="shared" si="64"/>
        <v>1411.47</v>
      </c>
      <c r="Y127" s="27">
        <f t="shared" si="65"/>
        <v>0</v>
      </c>
    </row>
    <row r="128" spans="1:27" ht="20.100000000000001" customHeight="1" outlineLevel="1" x14ac:dyDescent="0.2">
      <c r="A128" s="26" t="s">
        <v>328</v>
      </c>
      <c r="B128" s="30">
        <v>431</v>
      </c>
      <c r="C128" s="30" t="str">
        <f t="shared" si="57"/>
        <v>3</v>
      </c>
      <c r="D128" s="30" t="str">
        <f t="shared" si="58"/>
        <v>32</v>
      </c>
      <c r="E128" s="26" t="str">
        <f t="shared" si="49"/>
        <v>322</v>
      </c>
      <c r="F128" s="26" t="s">
        <v>72</v>
      </c>
      <c r="G128" s="26" t="s">
        <v>223</v>
      </c>
      <c r="H128" s="26" t="s">
        <v>74</v>
      </c>
      <c r="I128" s="27">
        <v>1000</v>
      </c>
      <c r="J128" s="27">
        <f t="shared" si="59"/>
        <v>1667.4299999999998</v>
      </c>
      <c r="K128" s="27">
        <v>-667.43</v>
      </c>
      <c r="L128" s="27">
        <v>0</v>
      </c>
      <c r="M128" s="27">
        <v>1667.43</v>
      </c>
      <c r="N128" s="27">
        <v>0</v>
      </c>
      <c r="O128" s="27">
        <v>-667.43</v>
      </c>
      <c r="P128" s="28">
        <v>1.667</v>
      </c>
      <c r="Q128" s="27">
        <f t="shared" si="60"/>
        <v>1667.4299999999998</v>
      </c>
      <c r="R128" s="27"/>
      <c r="S128" s="27">
        <f t="shared" si="61"/>
        <v>1667.4299999999998</v>
      </c>
      <c r="T128" s="27">
        <f t="shared" si="62"/>
        <v>37892.080000000002</v>
      </c>
      <c r="U128" s="27">
        <v>37892.080000000002</v>
      </c>
      <c r="V128" s="27">
        <f t="shared" si="63"/>
        <v>0</v>
      </c>
      <c r="W128" s="59">
        <v>-40.75</v>
      </c>
      <c r="X128" s="27">
        <f t="shared" si="64"/>
        <v>37851.33</v>
      </c>
      <c r="Y128" s="27">
        <f t="shared" si="65"/>
        <v>40.75</v>
      </c>
    </row>
    <row r="129" spans="1:27" ht="20.100000000000001" customHeight="1" outlineLevel="1" x14ac:dyDescent="0.2">
      <c r="A129" s="26" t="s">
        <v>328</v>
      </c>
      <c r="B129" s="30">
        <v>431</v>
      </c>
      <c r="C129" s="30" t="str">
        <f t="shared" si="57"/>
        <v>3</v>
      </c>
      <c r="D129" s="30" t="str">
        <f t="shared" si="58"/>
        <v>32</v>
      </c>
      <c r="E129" s="26" t="str">
        <f t="shared" si="49"/>
        <v>322</v>
      </c>
      <c r="F129" s="26" t="s">
        <v>75</v>
      </c>
      <c r="G129" s="26" t="s">
        <v>224</v>
      </c>
      <c r="H129" s="26" t="s">
        <v>77</v>
      </c>
      <c r="I129" s="27">
        <v>1000</v>
      </c>
      <c r="J129" s="27">
        <f t="shared" si="59"/>
        <v>807.99</v>
      </c>
      <c r="K129" s="27">
        <v>192.01</v>
      </c>
      <c r="L129" s="27">
        <v>0</v>
      </c>
      <c r="M129" s="27">
        <v>807.99</v>
      </c>
      <c r="N129" s="27">
        <v>0</v>
      </c>
      <c r="O129" s="27">
        <v>192.01</v>
      </c>
      <c r="P129" s="28">
        <v>0.80800000000000005</v>
      </c>
      <c r="Q129" s="27">
        <f t="shared" si="60"/>
        <v>807.99</v>
      </c>
      <c r="R129" s="27"/>
      <c r="S129" s="27">
        <f t="shared" si="61"/>
        <v>807.99</v>
      </c>
      <c r="T129" s="27">
        <f t="shared" si="62"/>
        <v>1151.2</v>
      </c>
      <c r="U129" s="27">
        <v>1151.2</v>
      </c>
      <c r="V129" s="27">
        <f t="shared" si="63"/>
        <v>0</v>
      </c>
      <c r="W129" s="27"/>
      <c r="X129" s="27">
        <f t="shared" si="64"/>
        <v>1151.2</v>
      </c>
      <c r="Y129" s="27">
        <f t="shared" si="65"/>
        <v>0</v>
      </c>
    </row>
    <row r="130" spans="1:27" ht="20.100000000000001" customHeight="1" outlineLevel="1" x14ac:dyDescent="0.2">
      <c r="A130" s="26" t="s">
        <v>328</v>
      </c>
      <c r="B130" s="30">
        <v>431</v>
      </c>
      <c r="C130" s="30" t="str">
        <f t="shared" si="57"/>
        <v>3</v>
      </c>
      <c r="D130" s="30" t="str">
        <f t="shared" si="58"/>
        <v>32</v>
      </c>
      <c r="E130" s="26" t="str">
        <f t="shared" si="49"/>
        <v>322</v>
      </c>
      <c r="F130" s="26" t="s">
        <v>84</v>
      </c>
      <c r="G130" s="26" t="s">
        <v>225</v>
      </c>
      <c r="H130" s="26" t="s">
        <v>86</v>
      </c>
      <c r="I130" s="27">
        <v>1000</v>
      </c>
      <c r="J130" s="27">
        <f t="shared" si="59"/>
        <v>405.5</v>
      </c>
      <c r="K130" s="27">
        <v>594.5</v>
      </c>
      <c r="L130" s="27">
        <v>0</v>
      </c>
      <c r="M130" s="27">
        <v>405.5</v>
      </c>
      <c r="N130" s="27">
        <v>0</v>
      </c>
      <c r="O130" s="27">
        <v>594.5</v>
      </c>
      <c r="P130" s="28">
        <v>0.40600000000000003</v>
      </c>
      <c r="Q130" s="27">
        <f t="shared" si="60"/>
        <v>405.5</v>
      </c>
      <c r="R130" s="27"/>
      <c r="S130" s="27">
        <f t="shared" si="61"/>
        <v>405.5</v>
      </c>
      <c r="T130" s="27">
        <f t="shared" si="62"/>
        <v>575.54999999999995</v>
      </c>
      <c r="U130" s="27">
        <v>575.54999999999995</v>
      </c>
      <c r="V130" s="27">
        <f t="shared" si="63"/>
        <v>0</v>
      </c>
      <c r="W130" s="27"/>
      <c r="X130" s="27">
        <f t="shared" si="64"/>
        <v>575.54999999999995</v>
      </c>
      <c r="Y130" s="27">
        <f t="shared" si="65"/>
        <v>0</v>
      </c>
    </row>
    <row r="131" spans="1:27" ht="20.100000000000001" customHeight="1" outlineLevel="1" x14ac:dyDescent="0.2">
      <c r="A131" s="26" t="s">
        <v>328</v>
      </c>
      <c r="B131" s="30">
        <v>431</v>
      </c>
      <c r="C131" s="30" t="str">
        <f t="shared" si="57"/>
        <v>3</v>
      </c>
      <c r="D131" s="30" t="str">
        <f t="shared" si="58"/>
        <v>32</v>
      </c>
      <c r="E131" s="26" t="str">
        <f t="shared" si="49"/>
        <v>323</v>
      </c>
      <c r="F131" s="26" t="s">
        <v>87</v>
      </c>
      <c r="G131" s="26" t="s">
        <v>226</v>
      </c>
      <c r="H131" s="26" t="s">
        <v>89</v>
      </c>
      <c r="I131" s="27">
        <v>500</v>
      </c>
      <c r="J131" s="27">
        <f t="shared" si="59"/>
        <v>9.2900000000000205</v>
      </c>
      <c r="K131" s="27">
        <v>490.71</v>
      </c>
      <c r="L131" s="27">
        <v>0</v>
      </c>
      <c r="M131" s="27">
        <v>9.2899999999999991</v>
      </c>
      <c r="N131" s="27">
        <v>0</v>
      </c>
      <c r="O131" s="27">
        <v>490.71</v>
      </c>
      <c r="P131" s="28">
        <v>1.9E-2</v>
      </c>
      <c r="Q131" s="27">
        <f t="shared" si="60"/>
        <v>9.2900000000000205</v>
      </c>
      <c r="R131" s="27"/>
      <c r="S131" s="27">
        <f t="shared" si="61"/>
        <v>9.2900000000000205</v>
      </c>
      <c r="T131" s="27">
        <f t="shared" si="62"/>
        <v>44.29</v>
      </c>
      <c r="U131" s="27">
        <v>44.29</v>
      </c>
      <c r="V131" s="27">
        <f t="shared" si="63"/>
        <v>0</v>
      </c>
      <c r="W131" s="27"/>
      <c r="X131" s="27">
        <f t="shared" si="64"/>
        <v>44.29</v>
      </c>
      <c r="Y131" s="27">
        <f t="shared" si="65"/>
        <v>0</v>
      </c>
    </row>
    <row r="132" spans="1:27" ht="20.100000000000001" customHeight="1" outlineLevel="1" x14ac:dyDescent="0.2">
      <c r="A132" s="26" t="s">
        <v>328</v>
      </c>
      <c r="B132" s="30">
        <v>431</v>
      </c>
      <c r="C132" s="30" t="str">
        <f t="shared" si="57"/>
        <v>3</v>
      </c>
      <c r="D132" s="30" t="str">
        <f t="shared" si="58"/>
        <v>32</v>
      </c>
      <c r="E132" s="26" t="str">
        <f t="shared" si="49"/>
        <v>323</v>
      </c>
      <c r="F132" s="26" t="s">
        <v>91</v>
      </c>
      <c r="G132" s="26" t="s">
        <v>227</v>
      </c>
      <c r="H132" s="26" t="s">
        <v>93</v>
      </c>
      <c r="I132" s="27">
        <v>700</v>
      </c>
      <c r="J132" s="27">
        <f t="shared" si="59"/>
        <v>0</v>
      </c>
      <c r="K132" s="27">
        <v>700</v>
      </c>
      <c r="L132" s="27">
        <v>0</v>
      </c>
      <c r="M132" s="27">
        <v>0</v>
      </c>
      <c r="N132" s="27">
        <v>0</v>
      </c>
      <c r="O132" s="27">
        <v>700</v>
      </c>
      <c r="P132" s="28">
        <v>0</v>
      </c>
      <c r="Q132" s="27">
        <f t="shared" si="60"/>
        <v>0</v>
      </c>
      <c r="R132" s="27"/>
      <c r="S132" s="27">
        <f t="shared" si="61"/>
        <v>0</v>
      </c>
      <c r="T132" s="27">
        <f t="shared" si="62"/>
        <v>0</v>
      </c>
      <c r="U132" s="27"/>
      <c r="V132" s="27">
        <f t="shared" si="63"/>
        <v>0</v>
      </c>
      <c r="W132" s="27"/>
      <c r="X132" s="27">
        <f t="shared" si="64"/>
        <v>0</v>
      </c>
      <c r="Y132" s="27">
        <f t="shared" si="65"/>
        <v>0</v>
      </c>
    </row>
    <row r="133" spans="1:27" ht="20.100000000000001" customHeight="1" outlineLevel="1" x14ac:dyDescent="0.2">
      <c r="A133" s="26" t="s">
        <v>328</v>
      </c>
      <c r="B133" s="30">
        <v>431</v>
      </c>
      <c r="C133" s="30" t="str">
        <f t="shared" si="57"/>
        <v>3</v>
      </c>
      <c r="D133" s="30" t="str">
        <f t="shared" si="58"/>
        <v>32</v>
      </c>
      <c r="E133" s="26" t="str">
        <f t="shared" si="49"/>
        <v>323</v>
      </c>
      <c r="F133" s="26" t="s">
        <v>97</v>
      </c>
      <c r="G133" s="26" t="s">
        <v>228</v>
      </c>
      <c r="H133" s="26" t="s">
        <v>99</v>
      </c>
      <c r="I133" s="27">
        <v>0</v>
      </c>
      <c r="J133" s="27">
        <f t="shared" si="59"/>
        <v>0</v>
      </c>
      <c r="K133" s="27">
        <v>0</v>
      </c>
      <c r="L133" s="27">
        <v>0</v>
      </c>
      <c r="M133" s="27">
        <v>0</v>
      </c>
      <c r="N133" s="27">
        <v>0</v>
      </c>
      <c r="O133" s="27">
        <v>0</v>
      </c>
      <c r="P133" s="28">
        <v>0</v>
      </c>
      <c r="Q133" s="27">
        <f t="shared" si="60"/>
        <v>0</v>
      </c>
      <c r="R133" s="27"/>
      <c r="S133" s="27">
        <f t="shared" si="61"/>
        <v>0</v>
      </c>
      <c r="T133" s="27">
        <f t="shared" si="62"/>
        <v>219.65</v>
      </c>
      <c r="U133" s="27">
        <v>219.65</v>
      </c>
      <c r="V133" s="27">
        <f t="shared" si="63"/>
        <v>0</v>
      </c>
      <c r="W133" s="27"/>
      <c r="X133" s="27">
        <f t="shared" si="64"/>
        <v>219.65</v>
      </c>
      <c r="Y133" s="27">
        <f t="shared" si="65"/>
        <v>0</v>
      </c>
    </row>
    <row r="134" spans="1:27" ht="20.100000000000001" customHeight="1" outlineLevel="1" x14ac:dyDescent="0.2">
      <c r="A134" s="26" t="s">
        <v>328</v>
      </c>
      <c r="B134" s="30">
        <v>431</v>
      </c>
      <c r="C134" s="30" t="str">
        <f t="shared" si="57"/>
        <v>3</v>
      </c>
      <c r="D134" s="30" t="str">
        <f t="shared" si="58"/>
        <v>32</v>
      </c>
      <c r="E134" s="26" t="str">
        <f t="shared" si="49"/>
        <v>323</v>
      </c>
      <c r="F134" s="26" t="s">
        <v>41</v>
      </c>
      <c r="G134" s="26" t="s">
        <v>229</v>
      </c>
      <c r="H134" s="26" t="s">
        <v>43</v>
      </c>
      <c r="I134" s="27">
        <v>22100</v>
      </c>
      <c r="J134" s="27">
        <f t="shared" si="59"/>
        <v>14297.42</v>
      </c>
      <c r="K134" s="27">
        <v>7802.58</v>
      </c>
      <c r="L134" s="27">
        <v>0</v>
      </c>
      <c r="M134" s="27">
        <v>14297.42</v>
      </c>
      <c r="N134" s="27">
        <v>0</v>
      </c>
      <c r="O134" s="27">
        <v>7802.58</v>
      </c>
      <c r="P134" s="28">
        <v>0.64700000000000002</v>
      </c>
      <c r="Q134" s="27">
        <f t="shared" si="60"/>
        <v>14297.42</v>
      </c>
      <c r="R134" s="27"/>
      <c r="S134" s="27">
        <f t="shared" si="61"/>
        <v>14297.42</v>
      </c>
      <c r="T134" s="27">
        <f t="shared" si="62"/>
        <v>28730.21</v>
      </c>
      <c r="U134" s="27">
        <v>28730.21</v>
      </c>
      <c r="V134" s="27">
        <f t="shared" si="63"/>
        <v>0</v>
      </c>
      <c r="W134" s="27"/>
      <c r="X134" s="27">
        <f t="shared" si="64"/>
        <v>28730.21</v>
      </c>
      <c r="Y134" s="27">
        <f t="shared" si="65"/>
        <v>0</v>
      </c>
    </row>
    <row r="135" spans="1:27" ht="20.100000000000001" customHeight="1" outlineLevel="1" x14ac:dyDescent="0.2">
      <c r="A135" s="26" t="s">
        <v>328</v>
      </c>
      <c r="B135" s="30">
        <v>431</v>
      </c>
      <c r="C135" s="30" t="str">
        <f t="shared" si="57"/>
        <v>3</v>
      </c>
      <c r="D135" s="30" t="str">
        <f t="shared" si="58"/>
        <v>32</v>
      </c>
      <c r="E135" s="26" t="str">
        <f t="shared" si="49"/>
        <v>323</v>
      </c>
      <c r="F135" s="26" t="s">
        <v>104</v>
      </c>
      <c r="G135" s="26" t="s">
        <v>230</v>
      </c>
      <c r="H135" s="26" t="s">
        <v>106</v>
      </c>
      <c r="I135" s="27">
        <v>1000</v>
      </c>
      <c r="J135" s="27">
        <f t="shared" si="59"/>
        <v>0</v>
      </c>
      <c r="K135" s="27">
        <v>1000</v>
      </c>
      <c r="L135" s="27">
        <v>0</v>
      </c>
      <c r="M135" s="27">
        <v>0</v>
      </c>
      <c r="N135" s="27">
        <v>0</v>
      </c>
      <c r="O135" s="27">
        <v>1000</v>
      </c>
      <c r="P135" s="28">
        <v>0</v>
      </c>
      <c r="Q135" s="27">
        <f t="shared" si="60"/>
        <v>0</v>
      </c>
      <c r="R135" s="27"/>
      <c r="S135" s="27">
        <f t="shared" si="61"/>
        <v>0</v>
      </c>
      <c r="T135" s="27">
        <f t="shared" si="62"/>
        <v>2064.25</v>
      </c>
      <c r="U135" s="27">
        <v>2064.25</v>
      </c>
      <c r="V135" s="27">
        <f t="shared" si="63"/>
        <v>0</v>
      </c>
      <c r="W135" s="27"/>
      <c r="X135" s="27">
        <f t="shared" si="64"/>
        <v>2064.25</v>
      </c>
      <c r="Y135" s="27">
        <f t="shared" si="65"/>
        <v>0</v>
      </c>
    </row>
    <row r="136" spans="1:27" ht="20.100000000000001" customHeight="1" outlineLevel="1" x14ac:dyDescent="0.2">
      <c r="A136" s="26" t="s">
        <v>328</v>
      </c>
      <c r="B136" s="30">
        <v>431</v>
      </c>
      <c r="C136" s="30" t="str">
        <f t="shared" si="57"/>
        <v>3</v>
      </c>
      <c r="D136" s="30" t="str">
        <f t="shared" si="58"/>
        <v>32</v>
      </c>
      <c r="E136" s="26" t="str">
        <f t="shared" si="49"/>
        <v>323</v>
      </c>
      <c r="F136" s="26" t="s">
        <v>126</v>
      </c>
      <c r="G136" s="26" t="s">
        <v>231</v>
      </c>
      <c r="H136" s="26" t="s">
        <v>128</v>
      </c>
      <c r="I136" s="27">
        <v>4000</v>
      </c>
      <c r="J136" s="27">
        <f t="shared" si="59"/>
        <v>1419.33</v>
      </c>
      <c r="K136" s="27">
        <v>2580.67</v>
      </c>
      <c r="L136" s="27">
        <v>0</v>
      </c>
      <c r="M136" s="27">
        <v>1419.33</v>
      </c>
      <c r="N136" s="27">
        <v>0</v>
      </c>
      <c r="O136" s="27">
        <v>2580.67</v>
      </c>
      <c r="P136" s="28">
        <v>0.35499999999999998</v>
      </c>
      <c r="Q136" s="27">
        <f t="shared" si="60"/>
        <v>1419.33</v>
      </c>
      <c r="R136" s="27"/>
      <c r="S136" s="27">
        <f t="shared" si="61"/>
        <v>1419.33</v>
      </c>
      <c r="T136" s="27">
        <f t="shared" si="62"/>
        <v>3418.16</v>
      </c>
      <c r="U136" s="27">
        <v>3418.16</v>
      </c>
      <c r="V136" s="27">
        <f t="shared" si="63"/>
        <v>0</v>
      </c>
      <c r="W136" s="27"/>
      <c r="X136" s="27">
        <f t="shared" si="64"/>
        <v>3418.16</v>
      </c>
      <c r="Y136" s="27">
        <f t="shared" si="65"/>
        <v>0</v>
      </c>
    </row>
    <row r="137" spans="1:27" ht="20.100000000000001" customHeight="1" outlineLevel="1" x14ac:dyDescent="0.2">
      <c r="A137" s="26" t="s">
        <v>328</v>
      </c>
      <c r="B137" s="30">
        <v>431</v>
      </c>
      <c r="C137" s="30" t="str">
        <f t="shared" si="57"/>
        <v>3</v>
      </c>
      <c r="D137" s="30" t="str">
        <f t="shared" si="58"/>
        <v>32</v>
      </c>
      <c r="E137" s="26" t="str">
        <f t="shared" si="49"/>
        <v>329</v>
      </c>
      <c r="F137" s="26" t="s">
        <v>154</v>
      </c>
      <c r="G137" s="26" t="s">
        <v>232</v>
      </c>
      <c r="H137" s="26" t="s">
        <v>156</v>
      </c>
      <c r="I137" s="27">
        <v>3000</v>
      </c>
      <c r="J137" s="27">
        <f t="shared" si="59"/>
        <v>1164.58</v>
      </c>
      <c r="K137" s="27">
        <v>1835.42</v>
      </c>
      <c r="L137" s="27">
        <v>0</v>
      </c>
      <c r="M137" s="27">
        <v>1164.58</v>
      </c>
      <c r="N137" s="27">
        <v>0</v>
      </c>
      <c r="O137" s="27">
        <v>1835.42</v>
      </c>
      <c r="P137" s="28">
        <v>0.38800000000000001</v>
      </c>
      <c r="Q137" s="27">
        <f t="shared" si="60"/>
        <v>1164.58</v>
      </c>
      <c r="R137" s="27"/>
      <c r="S137" s="27">
        <f t="shared" si="61"/>
        <v>1164.58</v>
      </c>
      <c r="T137" s="27">
        <f t="shared" si="62"/>
        <v>2599.84</v>
      </c>
      <c r="U137" s="27">
        <v>2599.84</v>
      </c>
      <c r="V137" s="27">
        <f t="shared" si="63"/>
        <v>0</v>
      </c>
      <c r="W137" s="27"/>
      <c r="X137" s="27">
        <f t="shared" si="64"/>
        <v>2599.84</v>
      </c>
      <c r="Y137" s="27">
        <f t="shared" si="65"/>
        <v>0</v>
      </c>
      <c r="Z137" s="56" t="s">
        <v>354</v>
      </c>
      <c r="AA137" s="56" t="s">
        <v>353</v>
      </c>
    </row>
    <row r="138" spans="1:27" ht="20.100000000000001" customHeight="1" x14ac:dyDescent="0.2">
      <c r="F138" s="216" t="s">
        <v>26</v>
      </c>
      <c r="G138" s="216"/>
      <c r="H138" s="216"/>
      <c r="I138" s="52">
        <f>SUMIFS(I139:I306,$A139:$A306,"A212402",$B139:$B306,"521")</f>
        <v>73100</v>
      </c>
      <c r="J138" s="52">
        <f t="shared" ref="J138:V138" si="66">SUMIFS(J139:J306,$A139:$A306,"A212402",$B139:$B306,"521")</f>
        <v>19280.669999999998</v>
      </c>
      <c r="K138" s="52">
        <f t="shared" si="66"/>
        <v>53819.33</v>
      </c>
      <c r="L138" s="52">
        <f t="shared" si="66"/>
        <v>0</v>
      </c>
      <c r="M138" s="52">
        <f t="shared" si="66"/>
        <v>19280.670000000002</v>
      </c>
      <c r="N138" s="52">
        <f t="shared" si="66"/>
        <v>0</v>
      </c>
      <c r="O138" s="52">
        <f t="shared" si="66"/>
        <v>53819.33</v>
      </c>
      <c r="P138" s="53">
        <v>0.26400000000000001</v>
      </c>
      <c r="Q138" s="52">
        <f t="shared" si="66"/>
        <v>19280.669999999998</v>
      </c>
      <c r="R138" s="52">
        <f t="shared" si="66"/>
        <v>0</v>
      </c>
      <c r="S138" s="52">
        <f t="shared" si="66"/>
        <v>19280.669999999998</v>
      </c>
      <c r="T138" s="52">
        <f>SUMIFS(T139:T306,$A139:$A306,"A212402",$B139:$B306,"521")</f>
        <v>70183.179999999993</v>
      </c>
      <c r="U138" s="52">
        <f t="shared" si="66"/>
        <v>70183.179999999993</v>
      </c>
      <c r="V138" s="52">
        <f t="shared" si="66"/>
        <v>0</v>
      </c>
      <c r="W138" s="52"/>
      <c r="X138" s="52">
        <f>SUMIFS(X139:X306,$A139:$A306,"A212402",$B139:$B306,"521")</f>
        <v>70183.179999999993</v>
      </c>
      <c r="Y138" s="52">
        <f>SUMIFS(Y139:Y306,$A139:$A306,"A212402",$B139:$B306,"521")</f>
        <v>0</v>
      </c>
      <c r="Z138" s="52">
        <f>SUMIFS(Z139:Z306,$A139:$A306,"A212402",$B139:$B306,"521")</f>
        <v>65022.73</v>
      </c>
      <c r="AA138" s="52">
        <f>SUMIFS(AA139:AA306,$A139:$A306,"A212402",$B139:$B306,"521")</f>
        <v>5160.45</v>
      </c>
    </row>
    <row r="139" spans="1:27" ht="20.100000000000001" customHeight="1" outlineLevel="1" x14ac:dyDescent="0.2">
      <c r="A139" s="26" t="s">
        <v>328</v>
      </c>
      <c r="B139" s="30">
        <v>521</v>
      </c>
      <c r="C139" s="30" t="str">
        <f t="shared" ref="C139:C155" si="67">LEFT(F139,1)</f>
        <v>3</v>
      </c>
      <c r="D139" s="30" t="str">
        <f t="shared" ref="D139:D155" si="68">LEFT(F139,2)</f>
        <v>32</v>
      </c>
      <c r="E139" s="26" t="str">
        <f t="shared" si="49"/>
        <v>321</v>
      </c>
      <c r="F139" s="26" t="s">
        <v>130</v>
      </c>
      <c r="G139" s="26" t="s">
        <v>233</v>
      </c>
      <c r="H139" s="26" t="s">
        <v>132</v>
      </c>
      <c r="I139" s="27">
        <v>6000</v>
      </c>
      <c r="J139" s="27">
        <f t="shared" ref="J139:J155" si="69">I139-K139</f>
        <v>1705.79</v>
      </c>
      <c r="K139" s="27">
        <v>4294.21</v>
      </c>
      <c r="L139" s="27">
        <v>0</v>
      </c>
      <c r="M139" s="27">
        <v>1705.79</v>
      </c>
      <c r="N139" s="27">
        <v>0</v>
      </c>
      <c r="O139" s="27">
        <v>4294.21</v>
      </c>
      <c r="P139" s="28">
        <v>0.28399999999999997</v>
      </c>
      <c r="Q139" s="27">
        <f t="shared" ref="Q139:Q155" si="70">J139</f>
        <v>1705.79</v>
      </c>
      <c r="R139" s="27"/>
      <c r="S139" s="27">
        <f t="shared" ref="S139:S155" si="71">R139+Q139</f>
        <v>1705.79</v>
      </c>
      <c r="T139" s="27">
        <f t="shared" si="62"/>
        <v>3575.79</v>
      </c>
      <c r="U139" s="27">
        <f>Z139+AA139</f>
        <v>3575.79</v>
      </c>
      <c r="V139" s="27">
        <f t="shared" ref="V139:V155" si="72">T139-U139</f>
        <v>0</v>
      </c>
      <c r="W139" s="27"/>
      <c r="X139" s="27">
        <f t="shared" ref="X139:X155" si="73">U139+W139</f>
        <v>3575.79</v>
      </c>
      <c r="Y139" s="27">
        <f t="shared" ref="Y139:Y155" si="74">T139-X139</f>
        <v>0</v>
      </c>
      <c r="Z139" s="27">
        <v>3575.79</v>
      </c>
      <c r="AA139" s="27"/>
    </row>
    <row r="140" spans="1:27" ht="20.100000000000001" customHeight="1" outlineLevel="1" x14ac:dyDescent="0.2">
      <c r="A140" s="26" t="s">
        <v>328</v>
      </c>
      <c r="B140" s="30">
        <v>521</v>
      </c>
      <c r="C140" s="30" t="str">
        <f t="shared" si="67"/>
        <v>3</v>
      </c>
      <c r="D140" s="30" t="str">
        <f t="shared" si="68"/>
        <v>32</v>
      </c>
      <c r="E140" s="26" t="str">
        <f t="shared" si="49"/>
        <v>321</v>
      </c>
      <c r="F140" s="26" t="s">
        <v>69</v>
      </c>
      <c r="G140" s="26" t="s">
        <v>234</v>
      </c>
      <c r="H140" s="26" t="s">
        <v>71</v>
      </c>
      <c r="I140" s="27">
        <v>4000</v>
      </c>
      <c r="J140" s="27">
        <f t="shared" si="69"/>
        <v>1425</v>
      </c>
      <c r="K140" s="27">
        <v>2575</v>
      </c>
      <c r="L140" s="27">
        <v>0</v>
      </c>
      <c r="M140" s="27">
        <v>1425</v>
      </c>
      <c r="N140" s="27">
        <v>0</v>
      </c>
      <c r="O140" s="27">
        <v>2575</v>
      </c>
      <c r="P140" s="28">
        <v>0.35599999999999998</v>
      </c>
      <c r="Q140" s="27">
        <f t="shared" si="70"/>
        <v>1425</v>
      </c>
      <c r="R140" s="27"/>
      <c r="S140" s="27">
        <f t="shared" si="71"/>
        <v>1425</v>
      </c>
      <c r="T140" s="27">
        <f t="shared" si="62"/>
        <v>1395</v>
      </c>
      <c r="U140" s="27">
        <f t="shared" ref="U140:U155" si="75">Z140+AA140</f>
        <v>1395</v>
      </c>
      <c r="V140" s="27">
        <f t="shared" si="72"/>
        <v>0</v>
      </c>
      <c r="W140" s="27"/>
      <c r="X140" s="27">
        <f t="shared" si="73"/>
        <v>1395</v>
      </c>
      <c r="Y140" s="27">
        <f t="shared" si="74"/>
        <v>0</v>
      </c>
      <c r="Z140" s="27">
        <v>1395</v>
      </c>
      <c r="AA140" s="27"/>
    </row>
    <row r="141" spans="1:27" ht="20.100000000000001" customHeight="1" outlineLevel="1" x14ac:dyDescent="0.2">
      <c r="A141" s="26" t="s">
        <v>328</v>
      </c>
      <c r="B141" s="30">
        <v>521</v>
      </c>
      <c r="C141" s="30" t="str">
        <f t="shared" si="67"/>
        <v>3</v>
      </c>
      <c r="D141" s="30" t="str">
        <f t="shared" si="68"/>
        <v>32</v>
      </c>
      <c r="E141" s="26" t="str">
        <f t="shared" si="49"/>
        <v>322</v>
      </c>
      <c r="F141" s="26" t="s">
        <v>72</v>
      </c>
      <c r="G141" s="26" t="s">
        <v>235</v>
      </c>
      <c r="H141" s="26" t="s">
        <v>74</v>
      </c>
      <c r="I141" s="27">
        <v>0</v>
      </c>
      <c r="J141" s="27">
        <f t="shared" si="69"/>
        <v>221.98</v>
      </c>
      <c r="K141" s="27">
        <v>-221.98</v>
      </c>
      <c r="L141" s="27">
        <v>0</v>
      </c>
      <c r="M141" s="27">
        <v>221.98</v>
      </c>
      <c r="N141" s="27">
        <v>0</v>
      </c>
      <c r="O141" s="27">
        <v>-221.98</v>
      </c>
      <c r="P141" s="28">
        <v>0</v>
      </c>
      <c r="Q141" s="27">
        <f t="shared" si="70"/>
        <v>221.98</v>
      </c>
      <c r="R141" s="27"/>
      <c r="S141" s="27">
        <f t="shared" si="71"/>
        <v>221.98</v>
      </c>
      <c r="T141" s="27">
        <f t="shared" si="62"/>
        <v>0</v>
      </c>
      <c r="U141" s="27">
        <f t="shared" si="75"/>
        <v>0</v>
      </c>
      <c r="V141" s="27">
        <f t="shared" si="72"/>
        <v>0</v>
      </c>
      <c r="W141" s="27"/>
      <c r="X141" s="27">
        <f t="shared" si="73"/>
        <v>0</v>
      </c>
      <c r="Y141" s="27">
        <f t="shared" si="74"/>
        <v>0</v>
      </c>
      <c r="Z141" s="27"/>
      <c r="AA141" s="27"/>
    </row>
    <row r="142" spans="1:27" ht="20.100000000000001" customHeight="1" outlineLevel="1" x14ac:dyDescent="0.2">
      <c r="A142" s="26" t="s">
        <v>328</v>
      </c>
      <c r="B142" s="30">
        <v>521</v>
      </c>
      <c r="C142" s="30" t="str">
        <f t="shared" si="67"/>
        <v>3</v>
      </c>
      <c r="D142" s="30" t="str">
        <f t="shared" si="68"/>
        <v>32</v>
      </c>
      <c r="E142" s="26" t="str">
        <f t="shared" si="49"/>
        <v>322</v>
      </c>
      <c r="F142" s="26" t="s">
        <v>75</v>
      </c>
      <c r="G142" s="26" t="s">
        <v>236</v>
      </c>
      <c r="H142" s="26" t="s">
        <v>77</v>
      </c>
      <c r="I142" s="27">
        <v>2000</v>
      </c>
      <c r="J142" s="27">
        <f t="shared" si="69"/>
        <v>0</v>
      </c>
      <c r="K142" s="27">
        <v>2000</v>
      </c>
      <c r="L142" s="27">
        <v>0</v>
      </c>
      <c r="M142" s="27">
        <v>0</v>
      </c>
      <c r="N142" s="27">
        <v>0</v>
      </c>
      <c r="O142" s="27">
        <v>2000</v>
      </c>
      <c r="P142" s="28">
        <v>0</v>
      </c>
      <c r="Q142" s="27">
        <f t="shared" si="70"/>
        <v>0</v>
      </c>
      <c r="R142" s="27"/>
      <c r="S142" s="27">
        <f t="shared" si="71"/>
        <v>0</v>
      </c>
      <c r="T142" s="27">
        <f t="shared" si="62"/>
        <v>636.55999999999995</v>
      </c>
      <c r="U142" s="27">
        <f t="shared" si="75"/>
        <v>636.55999999999995</v>
      </c>
      <c r="V142" s="27">
        <f t="shared" si="72"/>
        <v>0</v>
      </c>
      <c r="W142" s="27"/>
      <c r="X142" s="27">
        <f t="shared" si="73"/>
        <v>636.55999999999995</v>
      </c>
      <c r="Y142" s="27">
        <f t="shared" si="74"/>
        <v>0</v>
      </c>
      <c r="Z142" s="27">
        <v>636.55999999999995</v>
      </c>
      <c r="AA142" s="27"/>
    </row>
    <row r="143" spans="1:27" ht="20.100000000000001" customHeight="1" outlineLevel="1" x14ac:dyDescent="0.2">
      <c r="A143" s="26" t="s">
        <v>328</v>
      </c>
      <c r="B143" s="30">
        <v>521</v>
      </c>
      <c r="C143" s="30" t="str">
        <f t="shared" si="67"/>
        <v>3</v>
      </c>
      <c r="D143" s="30" t="str">
        <f t="shared" si="68"/>
        <v>32</v>
      </c>
      <c r="E143" s="26" t="str">
        <f t="shared" si="49"/>
        <v>322</v>
      </c>
      <c r="F143" s="26" t="s">
        <v>78</v>
      </c>
      <c r="G143" s="26" t="s">
        <v>237</v>
      </c>
      <c r="H143" s="26" t="s">
        <v>80</v>
      </c>
      <c r="I143" s="27">
        <v>0</v>
      </c>
      <c r="J143" s="27">
        <f t="shared" si="69"/>
        <v>0</v>
      </c>
      <c r="K143" s="27">
        <v>0</v>
      </c>
      <c r="L143" s="27">
        <v>0</v>
      </c>
      <c r="M143" s="27">
        <v>0</v>
      </c>
      <c r="N143" s="27">
        <v>0</v>
      </c>
      <c r="O143" s="27">
        <v>0</v>
      </c>
      <c r="P143" s="28">
        <v>0</v>
      </c>
      <c r="Q143" s="27">
        <f t="shared" si="70"/>
        <v>0</v>
      </c>
      <c r="R143" s="27"/>
      <c r="S143" s="27">
        <f t="shared" si="71"/>
        <v>0</v>
      </c>
      <c r="T143" s="27">
        <f t="shared" si="62"/>
        <v>364.8</v>
      </c>
      <c r="U143" s="27">
        <f t="shared" si="75"/>
        <v>364.8</v>
      </c>
      <c r="V143" s="27">
        <f t="shared" si="72"/>
        <v>0</v>
      </c>
      <c r="W143" s="27"/>
      <c r="X143" s="27">
        <f t="shared" si="73"/>
        <v>364.8</v>
      </c>
      <c r="Y143" s="27">
        <f t="shared" si="74"/>
        <v>0</v>
      </c>
      <c r="Z143" s="27">
        <v>364.8</v>
      </c>
      <c r="AA143" s="27"/>
    </row>
    <row r="144" spans="1:27" ht="20.100000000000001" customHeight="1" outlineLevel="1" x14ac:dyDescent="0.2">
      <c r="A144" s="26" t="s">
        <v>328</v>
      </c>
      <c r="B144" s="30">
        <v>521</v>
      </c>
      <c r="C144" s="30" t="str">
        <f t="shared" si="67"/>
        <v>3</v>
      </c>
      <c r="D144" s="30" t="str">
        <f t="shared" si="68"/>
        <v>32</v>
      </c>
      <c r="E144" s="26" t="str">
        <f t="shared" si="49"/>
        <v>322</v>
      </c>
      <c r="F144" s="26" t="s">
        <v>81</v>
      </c>
      <c r="G144" s="26" t="s">
        <v>238</v>
      </c>
      <c r="H144" s="26" t="s">
        <v>83</v>
      </c>
      <c r="I144" s="27">
        <v>0</v>
      </c>
      <c r="J144" s="27">
        <f t="shared" si="69"/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8">
        <v>0</v>
      </c>
      <c r="Q144" s="27">
        <f t="shared" si="70"/>
        <v>0</v>
      </c>
      <c r="R144" s="27"/>
      <c r="S144" s="27">
        <f t="shared" si="71"/>
        <v>0</v>
      </c>
      <c r="T144" s="27">
        <f t="shared" si="62"/>
        <v>0</v>
      </c>
      <c r="U144" s="27">
        <f t="shared" si="75"/>
        <v>0</v>
      </c>
      <c r="V144" s="27">
        <f t="shared" si="72"/>
        <v>0</v>
      </c>
      <c r="W144" s="27"/>
      <c r="X144" s="27">
        <f t="shared" si="73"/>
        <v>0</v>
      </c>
      <c r="Y144" s="27">
        <f t="shared" si="74"/>
        <v>0</v>
      </c>
      <c r="Z144" s="27"/>
      <c r="AA144" s="27"/>
    </row>
    <row r="145" spans="1:27" ht="20.100000000000001" customHeight="1" outlineLevel="1" x14ac:dyDescent="0.2">
      <c r="A145" s="26" t="s">
        <v>328</v>
      </c>
      <c r="B145" s="30">
        <v>521</v>
      </c>
      <c r="C145" s="30" t="str">
        <f t="shared" si="67"/>
        <v>3</v>
      </c>
      <c r="D145" s="30" t="str">
        <f t="shared" si="68"/>
        <v>32</v>
      </c>
      <c r="E145" s="26" t="str">
        <f t="shared" si="49"/>
        <v>322</v>
      </c>
      <c r="F145" s="26" t="s">
        <v>84</v>
      </c>
      <c r="G145" s="26" t="s">
        <v>239</v>
      </c>
      <c r="H145" s="26" t="s">
        <v>86</v>
      </c>
      <c r="I145" s="27">
        <v>0</v>
      </c>
      <c r="J145" s="27">
        <f t="shared" si="69"/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8">
        <v>0</v>
      </c>
      <c r="Q145" s="27">
        <f t="shared" si="70"/>
        <v>0</v>
      </c>
      <c r="R145" s="27"/>
      <c r="S145" s="27">
        <f t="shared" si="71"/>
        <v>0</v>
      </c>
      <c r="T145" s="27">
        <f t="shared" si="62"/>
        <v>0</v>
      </c>
      <c r="U145" s="27">
        <f t="shared" si="75"/>
        <v>0</v>
      </c>
      <c r="V145" s="27">
        <f t="shared" si="72"/>
        <v>0</v>
      </c>
      <c r="W145" s="27"/>
      <c r="X145" s="27">
        <f t="shared" si="73"/>
        <v>0</v>
      </c>
      <c r="Y145" s="27">
        <f t="shared" si="74"/>
        <v>0</v>
      </c>
      <c r="Z145" s="27"/>
      <c r="AA145" s="27"/>
    </row>
    <row r="146" spans="1:27" ht="20.100000000000001" customHeight="1" outlineLevel="1" x14ac:dyDescent="0.2">
      <c r="A146" s="26" t="s">
        <v>328</v>
      </c>
      <c r="B146" s="30">
        <v>521</v>
      </c>
      <c r="C146" s="30" t="str">
        <f t="shared" si="67"/>
        <v>3</v>
      </c>
      <c r="D146" s="30" t="str">
        <f t="shared" si="68"/>
        <v>32</v>
      </c>
      <c r="E146" s="26" t="str">
        <f t="shared" si="49"/>
        <v>323</v>
      </c>
      <c r="F146" s="26" t="s">
        <v>87</v>
      </c>
      <c r="G146" s="26" t="s">
        <v>240</v>
      </c>
      <c r="H146" s="26" t="s">
        <v>89</v>
      </c>
      <c r="I146" s="27">
        <v>0</v>
      </c>
      <c r="J146" s="27">
        <f t="shared" si="69"/>
        <v>0</v>
      </c>
      <c r="K146" s="27">
        <v>0</v>
      </c>
      <c r="L146" s="27">
        <v>0</v>
      </c>
      <c r="M146" s="27">
        <v>0</v>
      </c>
      <c r="N146" s="27">
        <v>0</v>
      </c>
      <c r="O146" s="27">
        <v>0</v>
      </c>
      <c r="P146" s="28">
        <v>0</v>
      </c>
      <c r="Q146" s="27">
        <f t="shared" si="70"/>
        <v>0</v>
      </c>
      <c r="R146" s="27"/>
      <c r="S146" s="27">
        <f t="shared" si="71"/>
        <v>0</v>
      </c>
      <c r="T146" s="27">
        <f t="shared" si="62"/>
        <v>0</v>
      </c>
      <c r="U146" s="27">
        <f t="shared" si="75"/>
        <v>0</v>
      </c>
      <c r="V146" s="27">
        <f t="shared" si="72"/>
        <v>0</v>
      </c>
      <c r="W146" s="27"/>
      <c r="X146" s="27">
        <f t="shared" si="73"/>
        <v>0</v>
      </c>
      <c r="Y146" s="27">
        <f t="shared" si="74"/>
        <v>0</v>
      </c>
      <c r="Z146" s="27"/>
      <c r="AA146" s="27"/>
    </row>
    <row r="147" spans="1:27" ht="20.100000000000001" customHeight="1" outlineLevel="1" x14ac:dyDescent="0.2">
      <c r="A147" s="26" t="s">
        <v>328</v>
      </c>
      <c r="B147" s="30">
        <v>521</v>
      </c>
      <c r="C147" s="30" t="str">
        <f t="shared" si="67"/>
        <v>3</v>
      </c>
      <c r="D147" s="30" t="str">
        <f t="shared" si="68"/>
        <v>32</v>
      </c>
      <c r="E147" s="26" t="str">
        <f t="shared" si="49"/>
        <v>323</v>
      </c>
      <c r="F147" s="26" t="s">
        <v>91</v>
      </c>
      <c r="G147" s="26" t="s">
        <v>241</v>
      </c>
      <c r="H147" s="26" t="s">
        <v>93</v>
      </c>
      <c r="I147" s="27">
        <v>1800</v>
      </c>
      <c r="J147" s="27">
        <f t="shared" si="69"/>
        <v>64.799999999999955</v>
      </c>
      <c r="K147" s="27">
        <v>1735.2</v>
      </c>
      <c r="L147" s="27">
        <v>0</v>
      </c>
      <c r="M147" s="27">
        <v>64.8</v>
      </c>
      <c r="N147" s="27">
        <v>0</v>
      </c>
      <c r="O147" s="27">
        <v>1735.2</v>
      </c>
      <c r="P147" s="28">
        <v>3.5999999999999997E-2</v>
      </c>
      <c r="Q147" s="27">
        <f t="shared" si="70"/>
        <v>64.799999999999955</v>
      </c>
      <c r="R147" s="27"/>
      <c r="S147" s="27">
        <f t="shared" si="71"/>
        <v>64.799999999999955</v>
      </c>
      <c r="T147" s="27">
        <f t="shared" si="62"/>
        <v>0</v>
      </c>
      <c r="U147" s="27">
        <f t="shared" si="75"/>
        <v>0</v>
      </c>
      <c r="V147" s="27">
        <f t="shared" si="72"/>
        <v>0</v>
      </c>
      <c r="W147" s="27"/>
      <c r="X147" s="27">
        <f t="shared" si="73"/>
        <v>0</v>
      </c>
      <c r="Y147" s="27">
        <f t="shared" si="74"/>
        <v>0</v>
      </c>
      <c r="Z147" s="27"/>
      <c r="AA147" s="27"/>
    </row>
    <row r="148" spans="1:27" ht="20.100000000000001" customHeight="1" outlineLevel="1" x14ac:dyDescent="0.2">
      <c r="A148" s="26" t="s">
        <v>328</v>
      </c>
      <c r="B148" s="30">
        <v>521</v>
      </c>
      <c r="C148" s="30" t="str">
        <f t="shared" si="67"/>
        <v>3</v>
      </c>
      <c r="D148" s="30" t="str">
        <f t="shared" si="68"/>
        <v>32</v>
      </c>
      <c r="E148" s="26" t="str">
        <f t="shared" si="49"/>
        <v>323</v>
      </c>
      <c r="F148" s="26" t="s">
        <v>97</v>
      </c>
      <c r="G148" s="26" t="s">
        <v>242</v>
      </c>
      <c r="H148" s="26" t="s">
        <v>99</v>
      </c>
      <c r="I148" s="27">
        <v>0</v>
      </c>
      <c r="J148" s="27">
        <f t="shared" si="69"/>
        <v>0</v>
      </c>
      <c r="K148" s="27">
        <v>0</v>
      </c>
      <c r="L148" s="27">
        <v>0</v>
      </c>
      <c r="M148" s="27">
        <v>0</v>
      </c>
      <c r="N148" s="27">
        <v>0</v>
      </c>
      <c r="O148" s="27">
        <v>0</v>
      </c>
      <c r="P148" s="28">
        <v>0</v>
      </c>
      <c r="Q148" s="27">
        <f t="shared" si="70"/>
        <v>0</v>
      </c>
      <c r="R148" s="27"/>
      <c r="S148" s="27">
        <f t="shared" si="71"/>
        <v>0</v>
      </c>
      <c r="T148" s="27">
        <f t="shared" si="62"/>
        <v>0</v>
      </c>
      <c r="U148" s="27">
        <f t="shared" si="75"/>
        <v>0</v>
      </c>
      <c r="V148" s="27">
        <f t="shared" si="72"/>
        <v>0</v>
      </c>
      <c r="W148" s="27"/>
      <c r="X148" s="27">
        <f t="shared" si="73"/>
        <v>0</v>
      </c>
      <c r="Y148" s="27">
        <f t="shared" si="74"/>
        <v>0</v>
      </c>
      <c r="Z148" s="27"/>
      <c r="AA148" s="27"/>
    </row>
    <row r="149" spans="1:27" ht="20.100000000000001" customHeight="1" outlineLevel="1" x14ac:dyDescent="0.2">
      <c r="A149" s="26" t="s">
        <v>328</v>
      </c>
      <c r="B149" s="30">
        <v>521</v>
      </c>
      <c r="C149" s="30" t="str">
        <f t="shared" si="67"/>
        <v>3</v>
      </c>
      <c r="D149" s="30" t="str">
        <f t="shared" si="68"/>
        <v>32</v>
      </c>
      <c r="E149" s="26" t="str">
        <f t="shared" si="49"/>
        <v>323</v>
      </c>
      <c r="F149" s="26" t="s">
        <v>41</v>
      </c>
      <c r="G149" s="26" t="s">
        <v>243</v>
      </c>
      <c r="H149" s="26" t="s">
        <v>43</v>
      </c>
      <c r="I149" s="27">
        <v>28500</v>
      </c>
      <c r="J149" s="27">
        <f t="shared" si="69"/>
        <v>10336.419999999998</v>
      </c>
      <c r="K149" s="27">
        <v>18163.580000000002</v>
      </c>
      <c r="L149" s="27">
        <v>0</v>
      </c>
      <c r="M149" s="27">
        <v>10336.42</v>
      </c>
      <c r="N149" s="27">
        <v>0</v>
      </c>
      <c r="O149" s="27">
        <v>18163.580000000002</v>
      </c>
      <c r="P149" s="28">
        <v>0.36299999999999999</v>
      </c>
      <c r="Q149" s="27">
        <f t="shared" si="70"/>
        <v>10336.419999999998</v>
      </c>
      <c r="R149" s="27"/>
      <c r="S149" s="27">
        <f t="shared" si="71"/>
        <v>10336.419999999998</v>
      </c>
      <c r="T149" s="27">
        <f t="shared" si="62"/>
        <v>27515.66</v>
      </c>
      <c r="U149" s="27">
        <f t="shared" si="75"/>
        <v>27515.66</v>
      </c>
      <c r="V149" s="27">
        <f t="shared" si="72"/>
        <v>0</v>
      </c>
      <c r="W149" s="27"/>
      <c r="X149" s="27">
        <f t="shared" si="73"/>
        <v>27515.66</v>
      </c>
      <c r="Y149" s="27">
        <f t="shared" si="74"/>
        <v>0</v>
      </c>
      <c r="Z149" s="27">
        <v>26500.66</v>
      </c>
      <c r="AA149" s="27">
        <v>1015</v>
      </c>
    </row>
    <row r="150" spans="1:27" ht="20.100000000000001" customHeight="1" outlineLevel="1" x14ac:dyDescent="0.2">
      <c r="A150" s="26" t="s">
        <v>328</v>
      </c>
      <c r="B150" s="30">
        <v>521</v>
      </c>
      <c r="C150" s="30" t="str">
        <f t="shared" si="67"/>
        <v>3</v>
      </c>
      <c r="D150" s="30" t="str">
        <f t="shared" si="68"/>
        <v>32</v>
      </c>
      <c r="E150" s="26" t="str">
        <f t="shared" si="49"/>
        <v>323</v>
      </c>
      <c r="F150" s="26" t="s">
        <v>104</v>
      </c>
      <c r="G150" s="26" t="s">
        <v>244</v>
      </c>
      <c r="H150" s="26" t="s">
        <v>106</v>
      </c>
      <c r="I150" s="27">
        <v>13500</v>
      </c>
      <c r="J150" s="27">
        <f t="shared" si="69"/>
        <v>82.5</v>
      </c>
      <c r="K150" s="27">
        <v>13417.5</v>
      </c>
      <c r="L150" s="27">
        <v>0</v>
      </c>
      <c r="M150" s="27">
        <v>82.5</v>
      </c>
      <c r="N150" s="27">
        <v>0</v>
      </c>
      <c r="O150" s="27">
        <v>13417.5</v>
      </c>
      <c r="P150" s="28">
        <v>6.0000000000000001E-3</v>
      </c>
      <c r="Q150" s="27">
        <f t="shared" si="70"/>
        <v>82.5</v>
      </c>
      <c r="R150" s="27"/>
      <c r="S150" s="27">
        <f t="shared" si="71"/>
        <v>82.5</v>
      </c>
      <c r="T150" s="27">
        <f t="shared" si="62"/>
        <v>14082.5</v>
      </c>
      <c r="U150" s="27">
        <f t="shared" si="75"/>
        <v>14082.5</v>
      </c>
      <c r="V150" s="27">
        <f t="shared" si="72"/>
        <v>0</v>
      </c>
      <c r="W150" s="27"/>
      <c r="X150" s="27">
        <f t="shared" si="73"/>
        <v>14082.5</v>
      </c>
      <c r="Y150" s="27">
        <f t="shared" si="74"/>
        <v>0</v>
      </c>
      <c r="Z150" s="27">
        <v>14082.5</v>
      </c>
      <c r="AA150" s="27"/>
    </row>
    <row r="151" spans="1:27" ht="20.100000000000001" customHeight="1" outlineLevel="1" x14ac:dyDescent="0.2">
      <c r="A151" s="26" t="s">
        <v>328</v>
      </c>
      <c r="B151" s="30">
        <v>521</v>
      </c>
      <c r="C151" s="30" t="str">
        <f t="shared" si="67"/>
        <v>3</v>
      </c>
      <c r="D151" s="30" t="str">
        <f t="shared" si="68"/>
        <v>32</v>
      </c>
      <c r="E151" s="26" t="str">
        <f t="shared" si="49"/>
        <v>323</v>
      </c>
      <c r="F151" s="26" t="s">
        <v>126</v>
      </c>
      <c r="G151" s="26" t="s">
        <v>245</v>
      </c>
      <c r="H151" s="26" t="s">
        <v>128</v>
      </c>
      <c r="I151" s="27">
        <v>11000</v>
      </c>
      <c r="J151" s="27">
        <f t="shared" si="69"/>
        <v>3269.46</v>
      </c>
      <c r="K151" s="27">
        <v>7730.54</v>
      </c>
      <c r="L151" s="27">
        <v>0</v>
      </c>
      <c r="M151" s="27">
        <v>3269.46</v>
      </c>
      <c r="N151" s="27">
        <v>0</v>
      </c>
      <c r="O151" s="27">
        <v>7730.54</v>
      </c>
      <c r="P151" s="28">
        <v>0.29699999999999999</v>
      </c>
      <c r="Q151" s="27">
        <f t="shared" si="70"/>
        <v>3269.46</v>
      </c>
      <c r="R151" s="27"/>
      <c r="S151" s="27">
        <f t="shared" si="71"/>
        <v>3269.46</v>
      </c>
      <c r="T151" s="27">
        <f t="shared" si="62"/>
        <v>18570.39</v>
      </c>
      <c r="U151" s="27">
        <f t="shared" si="75"/>
        <v>18570.39</v>
      </c>
      <c r="V151" s="27">
        <f t="shared" si="72"/>
        <v>0</v>
      </c>
      <c r="W151" s="27"/>
      <c r="X151" s="27">
        <f t="shared" si="73"/>
        <v>18570.39</v>
      </c>
      <c r="Y151" s="27">
        <f t="shared" si="74"/>
        <v>0</v>
      </c>
      <c r="Z151" s="27">
        <v>14449.94</v>
      </c>
      <c r="AA151" s="27">
        <v>4120.45</v>
      </c>
    </row>
    <row r="152" spans="1:27" ht="20.100000000000001" customHeight="1" outlineLevel="1" x14ac:dyDescent="0.2">
      <c r="A152" s="26" t="s">
        <v>328</v>
      </c>
      <c r="B152" s="30">
        <v>521</v>
      </c>
      <c r="C152" s="30" t="str">
        <f t="shared" si="67"/>
        <v>3</v>
      </c>
      <c r="D152" s="30" t="str">
        <f t="shared" si="68"/>
        <v>32</v>
      </c>
      <c r="E152" s="26" t="str">
        <f t="shared" si="49"/>
        <v>324</v>
      </c>
      <c r="F152" s="26" t="s">
        <v>150</v>
      </c>
      <c r="G152" s="26" t="s">
        <v>246</v>
      </c>
      <c r="H152" s="26" t="s">
        <v>152</v>
      </c>
      <c r="I152" s="27">
        <v>1000</v>
      </c>
      <c r="J152" s="27">
        <f t="shared" si="69"/>
        <v>0</v>
      </c>
      <c r="K152" s="27">
        <v>1000</v>
      </c>
      <c r="L152" s="27">
        <v>0</v>
      </c>
      <c r="M152" s="27">
        <v>0</v>
      </c>
      <c r="N152" s="27">
        <v>0</v>
      </c>
      <c r="O152" s="27">
        <v>1000</v>
      </c>
      <c r="P152" s="28">
        <v>0</v>
      </c>
      <c r="Q152" s="27">
        <f t="shared" si="70"/>
        <v>0</v>
      </c>
      <c r="R152" s="27"/>
      <c r="S152" s="27">
        <f t="shared" si="71"/>
        <v>0</v>
      </c>
      <c r="T152" s="27">
        <f t="shared" si="62"/>
        <v>407.3</v>
      </c>
      <c r="U152" s="27">
        <f t="shared" si="75"/>
        <v>407.3</v>
      </c>
      <c r="V152" s="27">
        <f t="shared" si="72"/>
        <v>0</v>
      </c>
      <c r="W152" s="27"/>
      <c r="X152" s="27">
        <f t="shared" si="73"/>
        <v>407.3</v>
      </c>
      <c r="Y152" s="27">
        <f t="shared" si="74"/>
        <v>0</v>
      </c>
      <c r="Z152" s="27">
        <v>407.3</v>
      </c>
      <c r="AA152" s="27"/>
    </row>
    <row r="153" spans="1:27" ht="20.100000000000001" customHeight="1" outlineLevel="1" x14ac:dyDescent="0.2">
      <c r="A153" s="26" t="s">
        <v>328</v>
      </c>
      <c r="B153" s="30">
        <v>521</v>
      </c>
      <c r="C153" s="30" t="str">
        <f t="shared" si="67"/>
        <v>3</v>
      </c>
      <c r="D153" s="30" t="str">
        <f t="shared" si="68"/>
        <v>32</v>
      </c>
      <c r="E153" s="26" t="str">
        <f t="shared" si="49"/>
        <v>329</v>
      </c>
      <c r="F153" s="26" t="s">
        <v>154</v>
      </c>
      <c r="G153" s="26" t="s">
        <v>247</v>
      </c>
      <c r="H153" s="26" t="s">
        <v>156</v>
      </c>
      <c r="I153" s="27">
        <v>3300</v>
      </c>
      <c r="J153" s="27">
        <f t="shared" si="69"/>
        <v>174.7199999999998</v>
      </c>
      <c r="K153" s="27">
        <v>3125.28</v>
      </c>
      <c r="L153" s="27">
        <v>0</v>
      </c>
      <c r="M153" s="27">
        <v>174.72</v>
      </c>
      <c r="N153" s="27">
        <v>0</v>
      </c>
      <c r="O153" s="27">
        <v>3125.28</v>
      </c>
      <c r="P153" s="28">
        <v>5.2999999999999999E-2</v>
      </c>
      <c r="Q153" s="27">
        <f t="shared" si="70"/>
        <v>174.7199999999998</v>
      </c>
      <c r="R153" s="27"/>
      <c r="S153" s="27">
        <f t="shared" si="71"/>
        <v>174.7199999999998</v>
      </c>
      <c r="T153" s="27">
        <f t="shared" si="62"/>
        <v>1635.18</v>
      </c>
      <c r="U153" s="27">
        <f t="shared" si="75"/>
        <v>1635.18</v>
      </c>
      <c r="V153" s="27">
        <f t="shared" si="72"/>
        <v>0</v>
      </c>
      <c r="W153" s="27"/>
      <c r="X153" s="27">
        <f t="shared" si="73"/>
        <v>1635.18</v>
      </c>
      <c r="Y153" s="27">
        <f t="shared" si="74"/>
        <v>0</v>
      </c>
      <c r="Z153" s="27">
        <v>1610.18</v>
      </c>
      <c r="AA153" s="27">
        <v>25</v>
      </c>
    </row>
    <row r="154" spans="1:27" ht="20.100000000000001" customHeight="1" outlineLevel="1" x14ac:dyDescent="0.2">
      <c r="A154" s="26" t="s">
        <v>328</v>
      </c>
      <c r="B154" s="30">
        <v>521</v>
      </c>
      <c r="C154" s="30" t="str">
        <f t="shared" si="67"/>
        <v>3</v>
      </c>
      <c r="D154" s="30" t="str">
        <f t="shared" si="68"/>
        <v>32</v>
      </c>
      <c r="E154" s="26" t="str">
        <f t="shared" si="49"/>
        <v>329</v>
      </c>
      <c r="F154" s="26" t="s">
        <v>113</v>
      </c>
      <c r="G154" s="26" t="s">
        <v>248</v>
      </c>
      <c r="H154" s="26" t="s">
        <v>115</v>
      </c>
      <c r="I154" s="27">
        <v>2000</v>
      </c>
      <c r="J154" s="27">
        <f t="shared" si="69"/>
        <v>2000</v>
      </c>
      <c r="K154" s="27">
        <v>0</v>
      </c>
      <c r="L154" s="27">
        <v>0</v>
      </c>
      <c r="M154" s="27">
        <v>2000</v>
      </c>
      <c r="N154" s="27">
        <v>0</v>
      </c>
      <c r="O154" s="27">
        <v>0</v>
      </c>
      <c r="P154" s="28">
        <v>1</v>
      </c>
      <c r="Q154" s="27">
        <f t="shared" si="70"/>
        <v>2000</v>
      </c>
      <c r="R154" s="27"/>
      <c r="S154" s="27">
        <f t="shared" si="71"/>
        <v>2000</v>
      </c>
      <c r="T154" s="27">
        <f t="shared" si="62"/>
        <v>2000</v>
      </c>
      <c r="U154" s="27">
        <f t="shared" si="75"/>
        <v>2000</v>
      </c>
      <c r="V154" s="27">
        <f t="shared" si="72"/>
        <v>0</v>
      </c>
      <c r="W154" s="27"/>
      <c r="X154" s="27">
        <f t="shared" si="73"/>
        <v>2000</v>
      </c>
      <c r="Y154" s="27">
        <f t="shared" si="74"/>
        <v>0</v>
      </c>
      <c r="Z154" s="27">
        <v>2000</v>
      </c>
      <c r="AA154" s="27"/>
    </row>
    <row r="155" spans="1:27" ht="20.100000000000001" customHeight="1" outlineLevel="1" x14ac:dyDescent="0.2">
      <c r="A155" s="26" t="s">
        <v>328</v>
      </c>
      <c r="B155" s="30">
        <v>521</v>
      </c>
      <c r="C155" s="30" t="str">
        <f t="shared" si="67"/>
        <v>3</v>
      </c>
      <c r="D155" s="30" t="str">
        <f t="shared" si="68"/>
        <v>32</v>
      </c>
      <c r="E155" s="26" t="str">
        <f t="shared" si="49"/>
        <v>329</v>
      </c>
      <c r="F155" s="26" t="s">
        <v>159</v>
      </c>
      <c r="G155" s="26" t="s">
        <v>249</v>
      </c>
      <c r="H155" s="26" t="s">
        <v>161</v>
      </c>
      <c r="I155" s="27">
        <v>0</v>
      </c>
      <c r="J155" s="27">
        <f t="shared" si="69"/>
        <v>0</v>
      </c>
      <c r="K155" s="27">
        <v>0</v>
      </c>
      <c r="L155" s="27">
        <v>0</v>
      </c>
      <c r="M155" s="27">
        <v>0</v>
      </c>
      <c r="N155" s="27">
        <v>0</v>
      </c>
      <c r="O155" s="27">
        <v>0</v>
      </c>
      <c r="P155" s="28">
        <v>0</v>
      </c>
      <c r="Q155" s="27">
        <f t="shared" si="70"/>
        <v>0</v>
      </c>
      <c r="R155" s="27"/>
      <c r="S155" s="27">
        <f t="shared" si="71"/>
        <v>0</v>
      </c>
      <c r="T155" s="27">
        <f t="shared" si="62"/>
        <v>0</v>
      </c>
      <c r="U155" s="27">
        <f t="shared" si="75"/>
        <v>0</v>
      </c>
      <c r="V155" s="27">
        <f t="shared" si="72"/>
        <v>0</v>
      </c>
      <c r="W155" s="27"/>
      <c r="X155" s="27">
        <f t="shared" si="73"/>
        <v>0</v>
      </c>
      <c r="Y155" s="27">
        <f t="shared" si="74"/>
        <v>0</v>
      </c>
      <c r="Z155" s="27"/>
      <c r="AA155" s="27"/>
    </row>
    <row r="156" spans="1:27" ht="20.100000000000001" customHeight="1" x14ac:dyDescent="0.2">
      <c r="F156" s="216" t="s">
        <v>34</v>
      </c>
      <c r="G156" s="216"/>
      <c r="H156" s="216"/>
      <c r="I156" s="52">
        <f>SUMIFS(I157:I324,$A157:$A324,"A212402",$B157:$B324,"541")</f>
        <v>2900</v>
      </c>
      <c r="J156" s="52">
        <f t="shared" ref="J156:V156" si="76">SUMIFS(J157:J324,$A157:$A324,"A212402",$B157:$B324,"541")</f>
        <v>1124.8800000000001</v>
      </c>
      <c r="K156" s="52">
        <f t="shared" si="76"/>
        <v>1775.12</v>
      </c>
      <c r="L156" s="52">
        <f t="shared" si="76"/>
        <v>0</v>
      </c>
      <c r="M156" s="52">
        <f t="shared" si="76"/>
        <v>1124.8800000000001</v>
      </c>
      <c r="N156" s="52">
        <f t="shared" si="76"/>
        <v>0</v>
      </c>
      <c r="O156" s="52">
        <f t="shared" si="76"/>
        <v>1875.12</v>
      </c>
      <c r="P156" s="53">
        <v>0.38800000000000001</v>
      </c>
      <c r="Q156" s="52">
        <f t="shared" si="76"/>
        <v>1124.8800000000001</v>
      </c>
      <c r="R156" s="52">
        <f t="shared" si="76"/>
        <v>0</v>
      </c>
      <c r="S156" s="52">
        <f t="shared" si="76"/>
        <v>1124.8800000000001</v>
      </c>
      <c r="T156" s="52">
        <f>SUMIFS(T157:T324,$A157:$A324,"A212402",$B157:$B324,"541")</f>
        <v>2163.17</v>
      </c>
      <c r="U156" s="52">
        <f t="shared" si="76"/>
        <v>2163.17</v>
      </c>
      <c r="V156" s="52">
        <f t="shared" si="76"/>
        <v>0</v>
      </c>
      <c r="W156" s="52"/>
      <c r="X156" s="52">
        <f>SUMIFS(X157:X324,$A157:$A324,"A212402",$B157:$B324,"541")</f>
        <v>2163.17</v>
      </c>
      <c r="Y156" s="52">
        <f>SUMIFS(Y157:Y324,$A157:$A324,"A212402",$B157:$B324,"541")</f>
        <v>0</v>
      </c>
      <c r="Z156" s="52">
        <f>SUMIFS(Z157:Z324,$A157:$A324,"A212402",$B157:$B324,"541")</f>
        <v>1139.42</v>
      </c>
      <c r="AA156" s="52">
        <f>SUMIFS(AA157:AA324,$A157:$A324,"A212402",$B157:$B324,"541")</f>
        <v>1023.75</v>
      </c>
    </row>
    <row r="157" spans="1:27" ht="20.100000000000001" customHeight="1" outlineLevel="1" x14ac:dyDescent="0.2">
      <c r="A157" s="26" t="s">
        <v>328</v>
      </c>
      <c r="B157" s="30">
        <v>541</v>
      </c>
      <c r="C157" s="30" t="str">
        <f t="shared" ref="C157:C163" si="77">LEFT(F157,1)</f>
        <v>3</v>
      </c>
      <c r="D157" s="30" t="str">
        <f t="shared" ref="D157:D163" si="78">LEFT(F157,2)</f>
        <v>32</v>
      </c>
      <c r="E157" s="26" t="str">
        <f t="shared" si="49"/>
        <v>322</v>
      </c>
      <c r="F157" s="26" t="s">
        <v>72</v>
      </c>
      <c r="G157" s="26" t="s">
        <v>250</v>
      </c>
      <c r="H157" s="26" t="s">
        <v>74</v>
      </c>
      <c r="I157" s="27">
        <v>100</v>
      </c>
      <c r="J157" s="27">
        <f t="shared" ref="J157:J163" si="79">I157-K157</f>
        <v>10.5</v>
      </c>
      <c r="K157" s="27">
        <v>89.5</v>
      </c>
      <c r="L157" s="27">
        <v>0</v>
      </c>
      <c r="M157" s="27">
        <v>10.5</v>
      </c>
      <c r="N157" s="27">
        <v>0</v>
      </c>
      <c r="O157" s="27">
        <v>89.5</v>
      </c>
      <c r="P157" s="28">
        <v>0.105</v>
      </c>
      <c r="Q157" s="27">
        <f t="shared" ref="Q157:Q163" si="80">J157</f>
        <v>10.5</v>
      </c>
      <c r="R157" s="27"/>
      <c r="S157" s="27">
        <f t="shared" ref="S157:S163" si="81">R157+Q157</f>
        <v>10.5</v>
      </c>
      <c r="T157" s="27">
        <f t="shared" si="62"/>
        <v>10.5</v>
      </c>
      <c r="U157" s="27">
        <f>Z157+AA157</f>
        <v>10.5</v>
      </c>
      <c r="V157" s="27">
        <f t="shared" ref="V157:V163" si="82">T157-U157</f>
        <v>0</v>
      </c>
      <c r="W157" s="27"/>
      <c r="X157" s="27">
        <f t="shared" ref="X157:X163" si="83">U157+W157</f>
        <v>10.5</v>
      </c>
      <c r="Y157" s="27">
        <f t="shared" ref="Y157:Y163" si="84">T157-X157</f>
        <v>0</v>
      </c>
      <c r="Z157" s="27">
        <v>10.5</v>
      </c>
      <c r="AA157" s="27"/>
    </row>
    <row r="158" spans="1:27" ht="20.100000000000001" customHeight="1" outlineLevel="1" x14ac:dyDescent="0.2">
      <c r="A158" s="26" t="s">
        <v>328</v>
      </c>
      <c r="B158" s="30">
        <v>541</v>
      </c>
      <c r="C158" s="30" t="str">
        <f t="shared" si="77"/>
        <v>3</v>
      </c>
      <c r="D158" s="30" t="str">
        <f t="shared" si="78"/>
        <v>32</v>
      </c>
      <c r="E158" s="26" t="str">
        <f t="shared" si="49"/>
        <v>322</v>
      </c>
      <c r="F158" s="26" t="s">
        <v>75</v>
      </c>
      <c r="G158" s="26" t="s">
        <v>251</v>
      </c>
      <c r="H158" s="26" t="s">
        <v>77</v>
      </c>
      <c r="I158" s="27">
        <v>400</v>
      </c>
      <c r="J158" s="27">
        <f t="shared" si="79"/>
        <v>39.990000000000009</v>
      </c>
      <c r="K158" s="27">
        <v>360.01</v>
      </c>
      <c r="L158" s="27">
        <v>0</v>
      </c>
      <c r="M158" s="27">
        <v>39.99</v>
      </c>
      <c r="N158" s="27">
        <v>0</v>
      </c>
      <c r="O158" s="27">
        <v>360.01</v>
      </c>
      <c r="P158" s="28">
        <v>0.1</v>
      </c>
      <c r="Q158" s="27">
        <f t="shared" si="80"/>
        <v>39.990000000000009</v>
      </c>
      <c r="R158" s="27"/>
      <c r="S158" s="27">
        <f t="shared" si="81"/>
        <v>39.990000000000009</v>
      </c>
      <c r="T158" s="27">
        <f t="shared" si="62"/>
        <v>7.98</v>
      </c>
      <c r="U158" s="27">
        <f t="shared" ref="U158:U163" si="85">Z158+AA158</f>
        <v>7.98</v>
      </c>
      <c r="V158" s="27">
        <f t="shared" si="82"/>
        <v>0</v>
      </c>
      <c r="W158" s="27"/>
      <c r="X158" s="27">
        <f t="shared" si="83"/>
        <v>7.98</v>
      </c>
      <c r="Y158" s="27">
        <f t="shared" si="84"/>
        <v>0</v>
      </c>
      <c r="Z158" s="27">
        <v>7.98</v>
      </c>
      <c r="AA158" s="27"/>
    </row>
    <row r="159" spans="1:27" ht="20.100000000000001" customHeight="1" outlineLevel="1" x14ac:dyDescent="0.2">
      <c r="A159" s="26" t="s">
        <v>328</v>
      </c>
      <c r="B159" s="30">
        <v>541</v>
      </c>
      <c r="C159" s="30" t="str">
        <f t="shared" si="77"/>
        <v>3</v>
      </c>
      <c r="D159" s="30" t="str">
        <f t="shared" si="78"/>
        <v>32</v>
      </c>
      <c r="E159" s="26" t="str">
        <f t="shared" si="49"/>
        <v>322</v>
      </c>
      <c r="F159" s="26" t="s">
        <v>81</v>
      </c>
      <c r="G159" s="26" t="s">
        <v>252</v>
      </c>
      <c r="H159" s="26" t="s">
        <v>83</v>
      </c>
      <c r="I159" s="27">
        <v>100</v>
      </c>
      <c r="J159" s="27">
        <f t="shared" si="79"/>
        <v>0</v>
      </c>
      <c r="K159" s="27">
        <v>100</v>
      </c>
      <c r="L159" s="27">
        <v>0</v>
      </c>
      <c r="M159" s="27">
        <v>0</v>
      </c>
      <c r="N159" s="27">
        <v>0</v>
      </c>
      <c r="O159" s="27">
        <v>100</v>
      </c>
      <c r="P159" s="28">
        <v>0</v>
      </c>
      <c r="Q159" s="27">
        <f t="shared" si="80"/>
        <v>0</v>
      </c>
      <c r="R159" s="27"/>
      <c r="S159" s="27">
        <f t="shared" si="81"/>
        <v>0</v>
      </c>
      <c r="T159" s="27">
        <f t="shared" si="62"/>
        <v>0</v>
      </c>
      <c r="U159" s="27">
        <f t="shared" si="85"/>
        <v>0</v>
      </c>
      <c r="V159" s="27">
        <f t="shared" si="82"/>
        <v>0</v>
      </c>
      <c r="W159" s="27"/>
      <c r="X159" s="27">
        <f t="shared" si="83"/>
        <v>0</v>
      </c>
      <c r="Y159" s="27">
        <f t="shared" si="84"/>
        <v>0</v>
      </c>
      <c r="Z159" s="27"/>
      <c r="AA159" s="27"/>
    </row>
    <row r="160" spans="1:27" ht="20.100000000000001" customHeight="1" outlineLevel="1" x14ac:dyDescent="0.2">
      <c r="A160" s="26" t="s">
        <v>328</v>
      </c>
      <c r="B160" s="30">
        <v>541</v>
      </c>
      <c r="C160" s="30" t="str">
        <f>LEFT(F160,1)</f>
        <v>3</v>
      </c>
      <c r="D160" s="30" t="str">
        <f>LEFT(F160,2)</f>
        <v>32</v>
      </c>
      <c r="E160" s="26" t="str">
        <f>LEFT(F160,3)</f>
        <v>322</v>
      </c>
      <c r="F160" s="35">
        <v>3225</v>
      </c>
      <c r="G160" s="26" t="s">
        <v>252</v>
      </c>
      <c r="H160" s="26" t="s">
        <v>355</v>
      </c>
      <c r="I160" s="27"/>
      <c r="J160" s="27">
        <f t="shared" si="79"/>
        <v>0</v>
      </c>
      <c r="K160" s="27"/>
      <c r="L160" s="27"/>
      <c r="M160" s="27"/>
      <c r="N160" s="27"/>
      <c r="O160" s="27">
        <v>100</v>
      </c>
      <c r="P160" s="28">
        <v>0</v>
      </c>
      <c r="Q160" s="27">
        <f>J160</f>
        <v>0</v>
      </c>
      <c r="R160" s="27"/>
      <c r="S160" s="27">
        <f t="shared" si="81"/>
        <v>0</v>
      </c>
      <c r="T160" s="27">
        <f t="shared" si="62"/>
        <v>46.55</v>
      </c>
      <c r="U160" s="27">
        <f t="shared" si="85"/>
        <v>46.55</v>
      </c>
      <c r="V160" s="27">
        <f t="shared" si="82"/>
        <v>0</v>
      </c>
      <c r="W160" s="27"/>
      <c r="X160" s="27">
        <f t="shared" si="83"/>
        <v>46.55</v>
      </c>
      <c r="Y160" s="27">
        <f t="shared" si="84"/>
        <v>0</v>
      </c>
      <c r="Z160" s="27">
        <v>46.55</v>
      </c>
      <c r="AA160" s="27"/>
    </row>
    <row r="161" spans="1:27" ht="20.100000000000001" customHeight="1" outlineLevel="1" x14ac:dyDescent="0.2">
      <c r="A161" s="26" t="s">
        <v>328</v>
      </c>
      <c r="B161" s="30">
        <v>541</v>
      </c>
      <c r="C161" s="30" t="str">
        <f t="shared" si="77"/>
        <v>3</v>
      </c>
      <c r="D161" s="30" t="str">
        <f t="shared" si="78"/>
        <v>32</v>
      </c>
      <c r="E161" s="26" t="str">
        <f t="shared" si="49"/>
        <v>323</v>
      </c>
      <c r="F161" s="26" t="s">
        <v>91</v>
      </c>
      <c r="G161" s="26" t="s">
        <v>253</v>
      </c>
      <c r="H161" s="26" t="s">
        <v>93</v>
      </c>
      <c r="I161" s="27">
        <v>800</v>
      </c>
      <c r="J161" s="27">
        <f t="shared" si="79"/>
        <v>0</v>
      </c>
      <c r="K161" s="27">
        <v>800</v>
      </c>
      <c r="L161" s="27">
        <v>0</v>
      </c>
      <c r="M161" s="27">
        <v>0</v>
      </c>
      <c r="N161" s="27">
        <v>0</v>
      </c>
      <c r="O161" s="27">
        <v>800</v>
      </c>
      <c r="P161" s="28">
        <v>0</v>
      </c>
      <c r="Q161" s="27">
        <f t="shared" si="80"/>
        <v>0</v>
      </c>
      <c r="R161" s="27"/>
      <c r="S161" s="27">
        <f t="shared" si="81"/>
        <v>0</v>
      </c>
      <c r="T161" s="27">
        <f t="shared" si="62"/>
        <v>1023.75</v>
      </c>
      <c r="U161" s="27">
        <f t="shared" si="85"/>
        <v>1023.75</v>
      </c>
      <c r="V161" s="27">
        <f t="shared" si="82"/>
        <v>0</v>
      </c>
      <c r="W161" s="27"/>
      <c r="X161" s="27">
        <f t="shared" si="83"/>
        <v>1023.75</v>
      </c>
      <c r="Y161" s="27">
        <f t="shared" si="84"/>
        <v>0</v>
      </c>
      <c r="Z161" s="27"/>
      <c r="AA161" s="27">
        <v>1023.75</v>
      </c>
    </row>
    <row r="162" spans="1:27" ht="20.100000000000001" customHeight="1" outlineLevel="1" x14ac:dyDescent="0.2">
      <c r="A162" s="26" t="s">
        <v>328</v>
      </c>
      <c r="B162" s="30">
        <v>541</v>
      </c>
      <c r="C162" s="30" t="str">
        <f t="shared" si="77"/>
        <v>3</v>
      </c>
      <c r="D162" s="30" t="str">
        <f t="shared" si="78"/>
        <v>32</v>
      </c>
      <c r="E162" s="26" t="str">
        <f t="shared" si="49"/>
        <v>323</v>
      </c>
      <c r="F162" s="26" t="s">
        <v>41</v>
      </c>
      <c r="G162" s="26" t="s">
        <v>254</v>
      </c>
      <c r="H162" s="26" t="s">
        <v>43</v>
      </c>
      <c r="I162" s="27">
        <v>1100</v>
      </c>
      <c r="J162" s="27">
        <f t="shared" si="79"/>
        <v>730.64</v>
      </c>
      <c r="K162" s="27">
        <v>369.36</v>
      </c>
      <c r="L162" s="27">
        <v>0</v>
      </c>
      <c r="M162" s="27">
        <v>730.64</v>
      </c>
      <c r="N162" s="27">
        <v>0</v>
      </c>
      <c r="O162" s="27">
        <v>369.36</v>
      </c>
      <c r="P162" s="28">
        <v>0.66400000000000003</v>
      </c>
      <c r="Q162" s="27">
        <f t="shared" si="80"/>
        <v>730.64</v>
      </c>
      <c r="R162" s="27"/>
      <c r="S162" s="27">
        <f t="shared" si="81"/>
        <v>730.64</v>
      </c>
      <c r="T162" s="27">
        <f t="shared" si="62"/>
        <v>730.64</v>
      </c>
      <c r="U162" s="27">
        <f t="shared" si="85"/>
        <v>730.64</v>
      </c>
      <c r="V162" s="27">
        <f t="shared" si="82"/>
        <v>0</v>
      </c>
      <c r="W162" s="27"/>
      <c r="X162" s="27">
        <f t="shared" si="83"/>
        <v>730.64</v>
      </c>
      <c r="Y162" s="27">
        <f t="shared" si="84"/>
        <v>0</v>
      </c>
      <c r="Z162" s="27">
        <v>730.64</v>
      </c>
      <c r="AA162" s="27"/>
    </row>
    <row r="163" spans="1:27" ht="20.100000000000001" customHeight="1" outlineLevel="1" x14ac:dyDescent="0.2">
      <c r="A163" s="26" t="s">
        <v>328</v>
      </c>
      <c r="B163" s="30">
        <v>541</v>
      </c>
      <c r="C163" s="30" t="str">
        <f t="shared" si="77"/>
        <v>3</v>
      </c>
      <c r="D163" s="30" t="str">
        <f t="shared" si="78"/>
        <v>32</v>
      </c>
      <c r="E163" s="26" t="str">
        <f t="shared" si="49"/>
        <v>323</v>
      </c>
      <c r="F163" s="26" t="s">
        <v>126</v>
      </c>
      <c r="G163" s="26" t="s">
        <v>255</v>
      </c>
      <c r="H163" s="26" t="s">
        <v>128</v>
      </c>
      <c r="I163" s="27">
        <v>400</v>
      </c>
      <c r="J163" s="27">
        <f t="shared" si="79"/>
        <v>343.75</v>
      </c>
      <c r="K163" s="27">
        <v>56.25</v>
      </c>
      <c r="L163" s="27">
        <v>0</v>
      </c>
      <c r="M163" s="27">
        <v>343.75</v>
      </c>
      <c r="N163" s="27">
        <v>0</v>
      </c>
      <c r="O163" s="27">
        <v>56.25</v>
      </c>
      <c r="P163" s="28">
        <v>0.85899999999999999</v>
      </c>
      <c r="Q163" s="27">
        <f t="shared" si="80"/>
        <v>343.75</v>
      </c>
      <c r="R163" s="27"/>
      <c r="S163" s="27">
        <f t="shared" si="81"/>
        <v>343.75</v>
      </c>
      <c r="T163" s="27">
        <f t="shared" si="62"/>
        <v>343.75</v>
      </c>
      <c r="U163" s="27">
        <f t="shared" si="85"/>
        <v>343.75</v>
      </c>
      <c r="V163" s="27">
        <f t="shared" si="82"/>
        <v>0</v>
      </c>
      <c r="W163" s="27"/>
      <c r="X163" s="27">
        <f t="shared" si="83"/>
        <v>343.75</v>
      </c>
      <c r="Y163" s="27">
        <f t="shared" si="84"/>
        <v>0</v>
      </c>
      <c r="Z163" s="27">
        <v>343.75</v>
      </c>
      <c r="AA163" s="27"/>
    </row>
    <row r="164" spans="1:27" ht="35.1" customHeight="1" x14ac:dyDescent="0.2">
      <c r="F164" s="222" t="s">
        <v>256</v>
      </c>
      <c r="G164" s="222"/>
      <c r="H164" s="222"/>
      <c r="I164" s="39">
        <f>SUM(I165:I165)</f>
        <v>0</v>
      </c>
      <c r="J164" s="39">
        <f t="shared" ref="J164:Y164" si="86">SUM(J165:J165)</f>
        <v>0</v>
      </c>
      <c r="K164" s="39">
        <f t="shared" si="86"/>
        <v>0</v>
      </c>
      <c r="L164" s="39">
        <f t="shared" si="86"/>
        <v>0</v>
      </c>
      <c r="M164" s="39">
        <f t="shared" si="86"/>
        <v>0</v>
      </c>
      <c r="N164" s="39">
        <f t="shared" si="86"/>
        <v>0</v>
      </c>
      <c r="O164" s="39">
        <f t="shared" si="86"/>
        <v>0</v>
      </c>
      <c r="P164" s="40">
        <v>0</v>
      </c>
      <c r="Q164" s="39">
        <f t="shared" si="86"/>
        <v>0</v>
      </c>
      <c r="R164" s="39">
        <f t="shared" si="86"/>
        <v>0</v>
      </c>
      <c r="S164" s="39">
        <f t="shared" si="86"/>
        <v>0</v>
      </c>
      <c r="T164" s="39">
        <f t="shared" si="86"/>
        <v>0</v>
      </c>
      <c r="U164" s="39">
        <f t="shared" si="86"/>
        <v>0</v>
      </c>
      <c r="V164" s="39">
        <f t="shared" si="86"/>
        <v>0</v>
      </c>
      <c r="W164" s="39"/>
      <c r="X164" s="39">
        <f t="shared" si="86"/>
        <v>0</v>
      </c>
      <c r="Y164" s="39">
        <f t="shared" si="86"/>
        <v>0</v>
      </c>
    </row>
    <row r="165" spans="1:27" ht="20.100000000000001" customHeight="1" x14ac:dyDescent="0.2">
      <c r="F165" s="216" t="s">
        <v>56</v>
      </c>
      <c r="G165" s="216"/>
      <c r="H165" s="216"/>
      <c r="I165" s="52">
        <f>SUMIFS(I166:I332,$A166:$A332,"A212403",$B166:$B332,"112")</f>
        <v>0</v>
      </c>
      <c r="J165" s="52">
        <v>0</v>
      </c>
      <c r="K165" s="52">
        <v>0</v>
      </c>
      <c r="L165" s="52">
        <v>0</v>
      </c>
      <c r="M165" s="52">
        <v>0</v>
      </c>
      <c r="N165" s="52">
        <v>0</v>
      </c>
      <c r="O165" s="52">
        <v>0</v>
      </c>
      <c r="P165" s="53">
        <v>0</v>
      </c>
      <c r="Q165" s="52">
        <v>0</v>
      </c>
      <c r="R165" s="52">
        <v>0</v>
      </c>
      <c r="S165" s="52">
        <v>0</v>
      </c>
      <c r="T165" s="52">
        <v>0</v>
      </c>
      <c r="U165" s="52">
        <v>0</v>
      </c>
      <c r="V165" s="52">
        <v>0</v>
      </c>
      <c r="W165" s="52"/>
      <c r="X165" s="52">
        <v>0</v>
      </c>
      <c r="Y165" s="52">
        <v>0</v>
      </c>
    </row>
    <row r="166" spans="1:27" ht="20.100000000000001" customHeight="1" outlineLevel="1" x14ac:dyDescent="0.2">
      <c r="A166" s="26" t="s">
        <v>329</v>
      </c>
      <c r="B166" s="30">
        <v>112</v>
      </c>
      <c r="C166" s="30" t="str">
        <f>LEFT(F166,1)</f>
        <v>3</v>
      </c>
      <c r="D166" s="30" t="str">
        <f>LEFT(F166,2)</f>
        <v>32</v>
      </c>
      <c r="E166" s="26" t="str">
        <f>LEFT(F166,3)</f>
        <v>321</v>
      </c>
      <c r="F166" s="26" t="s">
        <v>130</v>
      </c>
      <c r="G166" s="26" t="s">
        <v>257</v>
      </c>
      <c r="H166" s="26" t="s">
        <v>132</v>
      </c>
      <c r="I166" s="27">
        <v>0</v>
      </c>
      <c r="J166" s="27">
        <f>I166-K166</f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0</v>
      </c>
      <c r="P166" s="28">
        <v>0</v>
      </c>
      <c r="Q166" s="27">
        <f>J166</f>
        <v>0</v>
      </c>
      <c r="R166" s="27"/>
      <c r="S166" s="27">
        <f>R166+Q166</f>
        <v>0</v>
      </c>
      <c r="T166" s="27">
        <f>U166</f>
        <v>0</v>
      </c>
      <c r="U166" s="27"/>
      <c r="V166" s="27">
        <f>T166-U166</f>
        <v>0</v>
      </c>
      <c r="W166" s="27"/>
      <c r="X166" s="27">
        <f>U166+W166</f>
        <v>0</v>
      </c>
      <c r="Y166" s="27">
        <f>T166-X166</f>
        <v>0</v>
      </c>
    </row>
    <row r="167" spans="1:27" ht="35.1" customHeight="1" x14ac:dyDescent="0.2">
      <c r="F167" s="222" t="s">
        <v>258</v>
      </c>
      <c r="G167" s="222"/>
      <c r="H167" s="222"/>
      <c r="I167" s="39">
        <f>SUM(I168:I168)</f>
        <v>185500</v>
      </c>
      <c r="J167" s="39">
        <f t="shared" ref="J167:Y167" si="87">SUM(J168:J168)</f>
        <v>97034.17</v>
      </c>
      <c r="K167" s="39">
        <f t="shared" si="87"/>
        <v>88465.83</v>
      </c>
      <c r="L167" s="39">
        <f t="shared" si="87"/>
        <v>0</v>
      </c>
      <c r="M167" s="39">
        <f t="shared" si="87"/>
        <v>97034.17</v>
      </c>
      <c r="N167" s="39">
        <f t="shared" si="87"/>
        <v>0</v>
      </c>
      <c r="O167" s="39">
        <f t="shared" si="87"/>
        <v>88465.83</v>
      </c>
      <c r="P167" s="40">
        <v>0.52300000000000002</v>
      </c>
      <c r="Q167" s="39">
        <f t="shared" si="87"/>
        <v>97034.17</v>
      </c>
      <c r="R167" s="39">
        <f t="shared" si="87"/>
        <v>88465.83</v>
      </c>
      <c r="S167" s="39">
        <f t="shared" si="87"/>
        <v>185500</v>
      </c>
      <c r="T167" s="39">
        <f t="shared" si="87"/>
        <v>185500</v>
      </c>
      <c r="U167" s="39">
        <f t="shared" si="87"/>
        <v>185500</v>
      </c>
      <c r="V167" s="39">
        <f t="shared" si="87"/>
        <v>0</v>
      </c>
      <c r="W167" s="39"/>
      <c r="X167" s="39">
        <f t="shared" si="87"/>
        <v>185500</v>
      </c>
      <c r="Y167" s="39">
        <f t="shared" si="87"/>
        <v>0</v>
      </c>
    </row>
    <row r="168" spans="1:27" ht="20.100000000000001" customHeight="1" x14ac:dyDescent="0.2">
      <c r="F168" s="216" t="s">
        <v>56</v>
      </c>
      <c r="G168" s="216"/>
      <c r="H168" s="216"/>
      <c r="I168" s="52">
        <f>SUMIFS(I169:I335,$A169:$A335,"A212404",$B169:$B335,"112")</f>
        <v>185500</v>
      </c>
      <c r="J168" s="52">
        <f t="shared" ref="J168:V168" si="88">SUMIFS(J169:J335,$A169:$A335,"A212404",$B169:$B335,"112")</f>
        <v>97034.17</v>
      </c>
      <c r="K168" s="52">
        <f t="shared" si="88"/>
        <v>88465.83</v>
      </c>
      <c r="L168" s="52">
        <f t="shared" si="88"/>
        <v>0</v>
      </c>
      <c r="M168" s="52">
        <f t="shared" si="88"/>
        <v>97034.17</v>
      </c>
      <c r="N168" s="52">
        <f t="shared" si="88"/>
        <v>0</v>
      </c>
      <c r="O168" s="52">
        <f t="shared" si="88"/>
        <v>88465.83</v>
      </c>
      <c r="P168" s="53">
        <v>0.52300000000000002</v>
      </c>
      <c r="Q168" s="52">
        <f t="shared" si="88"/>
        <v>97034.17</v>
      </c>
      <c r="R168" s="52">
        <f t="shared" si="88"/>
        <v>88465.83</v>
      </c>
      <c r="S168" s="52">
        <f t="shared" si="88"/>
        <v>185500</v>
      </c>
      <c r="T168" s="52">
        <f>SUMIFS(T169:T335,$A169:$A335,"A212404",$B169:$B335,"112")</f>
        <v>185500</v>
      </c>
      <c r="U168" s="52">
        <f t="shared" si="88"/>
        <v>185500</v>
      </c>
      <c r="V168" s="52">
        <f t="shared" si="88"/>
        <v>0</v>
      </c>
      <c r="W168" s="52"/>
      <c r="X168" s="52">
        <f>SUMIFS(X169:X335,$A169:$A335,"A212404",$B169:$B335,"112")</f>
        <v>185500</v>
      </c>
      <c r="Y168" s="52">
        <f>SUMIFS(Y169:Y335,$A169:$A335,"A212404",$B169:$B335,"112")</f>
        <v>0</v>
      </c>
    </row>
    <row r="169" spans="1:27" ht="20.100000000000001" customHeight="1" outlineLevel="1" x14ac:dyDescent="0.2">
      <c r="A169" s="26" t="s">
        <v>330</v>
      </c>
      <c r="B169" s="30">
        <v>112</v>
      </c>
      <c r="C169" s="30" t="str">
        <f>LEFT(F169,1)</f>
        <v>3</v>
      </c>
      <c r="D169" s="30" t="str">
        <f>LEFT(F169,2)</f>
        <v>32</v>
      </c>
      <c r="E169" s="26" t="str">
        <f>LEFT(F169,3)</f>
        <v>323</v>
      </c>
      <c r="F169" s="26" t="s">
        <v>97</v>
      </c>
      <c r="G169" s="26" t="s">
        <v>259</v>
      </c>
      <c r="H169" s="26" t="s">
        <v>99</v>
      </c>
      <c r="I169" s="27">
        <v>0</v>
      </c>
      <c r="J169" s="27">
        <f>I169-K169</f>
        <v>60935.17</v>
      </c>
      <c r="K169" s="27">
        <v>-60935.17</v>
      </c>
      <c r="L169" s="27">
        <v>0</v>
      </c>
      <c r="M169" s="27">
        <v>60935.17</v>
      </c>
      <c r="N169" s="27">
        <v>0</v>
      </c>
      <c r="O169" s="27">
        <v>-60935.17</v>
      </c>
      <c r="P169" s="28">
        <v>0</v>
      </c>
      <c r="Q169" s="27">
        <f>J169</f>
        <v>60935.17</v>
      </c>
      <c r="R169" s="27">
        <v>-60935.17</v>
      </c>
      <c r="S169" s="27">
        <f>R169+Q169</f>
        <v>0</v>
      </c>
      <c r="T169" s="27">
        <f>S169</f>
        <v>0</v>
      </c>
      <c r="U169" s="27">
        <v>185500</v>
      </c>
      <c r="V169" s="27">
        <f>T169-U169</f>
        <v>-185500</v>
      </c>
      <c r="W169" s="27"/>
      <c r="X169" s="27">
        <f>U169+W169</f>
        <v>185500</v>
      </c>
      <c r="Y169" s="27">
        <f>T169-X169</f>
        <v>-185500</v>
      </c>
    </row>
    <row r="170" spans="1:27" ht="20.100000000000001" customHeight="1" outlineLevel="1" x14ac:dyDescent="0.2">
      <c r="A170" s="26" t="s">
        <v>330</v>
      </c>
      <c r="B170" s="30">
        <v>112</v>
      </c>
      <c r="C170" s="30" t="str">
        <f>LEFT(F170,1)</f>
        <v>3</v>
      </c>
      <c r="D170" s="30" t="str">
        <f>LEFT(F170,2)</f>
        <v>37</v>
      </c>
      <c r="E170" s="26" t="str">
        <f>LEFT(F170,3)</f>
        <v>372</v>
      </c>
      <c r="F170" s="26" t="s">
        <v>260</v>
      </c>
      <c r="G170" s="26" t="s">
        <v>261</v>
      </c>
      <c r="H170" s="26" t="s">
        <v>262</v>
      </c>
      <c r="I170" s="27">
        <v>185500</v>
      </c>
      <c r="J170" s="27">
        <f>I170-K170</f>
        <v>36099</v>
      </c>
      <c r="K170" s="27">
        <v>149401</v>
      </c>
      <c r="L170" s="27">
        <v>0</v>
      </c>
      <c r="M170" s="27">
        <v>36099</v>
      </c>
      <c r="N170" s="27">
        <v>0</v>
      </c>
      <c r="O170" s="27">
        <v>149401</v>
      </c>
      <c r="P170" s="28">
        <v>0.19500000000000001</v>
      </c>
      <c r="Q170" s="27">
        <f>J170</f>
        <v>36099</v>
      </c>
      <c r="R170" s="27">
        <v>149401</v>
      </c>
      <c r="S170" s="27">
        <f>R170+Q170</f>
        <v>185500</v>
      </c>
      <c r="T170" s="27">
        <f>S170</f>
        <v>185500</v>
      </c>
      <c r="U170" s="27"/>
      <c r="V170" s="27">
        <f>T170-U170</f>
        <v>185500</v>
      </c>
      <c r="W170" s="27"/>
      <c r="X170" s="27">
        <f>U170+W170</f>
        <v>0</v>
      </c>
      <c r="Y170" s="27">
        <f>T170-X170</f>
        <v>185500</v>
      </c>
    </row>
    <row r="171" spans="1:27" ht="35.1" customHeight="1" x14ac:dyDescent="0.2">
      <c r="F171" s="222" t="s">
        <v>263</v>
      </c>
      <c r="G171" s="222"/>
      <c r="H171" s="222"/>
      <c r="I171" s="39">
        <f>I172+I180+I190+I194+I197+I201+I204</f>
        <v>2825300</v>
      </c>
      <c r="J171" s="39">
        <f t="shared" ref="J171:O171" si="89">J172+J180+J190+J194+J197+J201+J204</f>
        <v>1702830.04</v>
      </c>
      <c r="K171" s="39">
        <f t="shared" si="89"/>
        <v>1122469.96</v>
      </c>
      <c r="L171" s="39">
        <f t="shared" si="89"/>
        <v>0</v>
      </c>
      <c r="M171" s="39">
        <f t="shared" si="89"/>
        <v>1702830.04</v>
      </c>
      <c r="N171" s="39">
        <f t="shared" si="89"/>
        <v>0</v>
      </c>
      <c r="O171" s="39">
        <f t="shared" si="89"/>
        <v>1122469.96</v>
      </c>
      <c r="P171" s="40">
        <v>0.60299999999999998</v>
      </c>
      <c r="Q171" s="39">
        <f t="shared" ref="Q171:Y171" si="90">Q172+Q180+Q190+Q194+Q197+Q201+Q204</f>
        <v>1702830.04</v>
      </c>
      <c r="R171" s="39">
        <f t="shared" si="90"/>
        <v>108387.72</v>
      </c>
      <c r="S171" s="39">
        <f t="shared" si="90"/>
        <v>1811217.76</v>
      </c>
      <c r="T171" s="39">
        <f t="shared" si="90"/>
        <v>2249697.46</v>
      </c>
      <c r="U171" s="39">
        <f t="shared" si="90"/>
        <v>2252929.92</v>
      </c>
      <c r="V171" s="39">
        <f t="shared" si="90"/>
        <v>-3232.4600000001155</v>
      </c>
      <c r="W171" s="39"/>
      <c r="X171" s="39">
        <f t="shared" si="90"/>
        <v>2252929.92</v>
      </c>
      <c r="Y171" s="39">
        <f t="shared" si="90"/>
        <v>-3232.4600000001155</v>
      </c>
    </row>
    <row r="172" spans="1:27" ht="20.100000000000001" customHeight="1" x14ac:dyDescent="0.2">
      <c r="F172" s="216" t="s">
        <v>56</v>
      </c>
      <c r="G172" s="216"/>
      <c r="H172" s="216"/>
      <c r="I172" s="52">
        <f>SUMIFS(I173:I339,$A173:$A339,"K212401",$B173:$B339,"112")</f>
        <v>2117200</v>
      </c>
      <c r="J172" s="52">
        <f t="shared" ref="J172:V172" si="91">SUMIFS(J173:J339,$A173:$A339,"K212401",$B173:$B339,"112")</f>
        <v>1248873.02</v>
      </c>
      <c r="K172" s="52">
        <f t="shared" si="91"/>
        <v>868326.98</v>
      </c>
      <c r="L172" s="52">
        <f t="shared" si="91"/>
        <v>0</v>
      </c>
      <c r="M172" s="52">
        <f t="shared" si="91"/>
        <v>1248873.02</v>
      </c>
      <c r="N172" s="52">
        <f t="shared" si="91"/>
        <v>0</v>
      </c>
      <c r="O172" s="52">
        <f t="shared" si="91"/>
        <v>868326.98</v>
      </c>
      <c r="P172" s="53">
        <v>0.59</v>
      </c>
      <c r="Q172" s="52">
        <f t="shared" si="91"/>
        <v>1248873.02</v>
      </c>
      <c r="R172" s="52">
        <f t="shared" si="91"/>
        <v>108387.72</v>
      </c>
      <c r="S172" s="52">
        <f t="shared" si="91"/>
        <v>1357260.74</v>
      </c>
      <c r="T172" s="52">
        <f>SUMIFS(T173:T339,$A173:$A339,"K212401",$B173:$B339,"112")</f>
        <v>1357260.74</v>
      </c>
      <c r="U172" s="52">
        <f t="shared" si="91"/>
        <v>1360493.2000000002</v>
      </c>
      <c r="V172" s="52">
        <f t="shared" si="91"/>
        <v>-3232.4600000001155</v>
      </c>
      <c r="W172" s="52"/>
      <c r="X172" s="52">
        <f>SUMIFS(X173:X339,$A173:$A339,"K212401",$B173:$B339,"112")</f>
        <v>1360493.2000000002</v>
      </c>
      <c r="Y172" s="52">
        <f>SUMIFS(Y173:Y339,$A173:$A339,"K212401",$B173:$B339,"112")</f>
        <v>-3232.4600000001155</v>
      </c>
    </row>
    <row r="173" spans="1:27" ht="24.95" customHeight="1" outlineLevel="1" x14ac:dyDescent="0.2">
      <c r="A173" s="26" t="s">
        <v>331</v>
      </c>
      <c r="B173" s="30">
        <v>112</v>
      </c>
      <c r="C173" s="30" t="str">
        <f t="shared" ref="C173:C179" si="92">LEFT(F173,1)</f>
        <v>3</v>
      </c>
      <c r="D173" s="30" t="str">
        <f t="shared" ref="D173:D179" si="93">LEFT(F173,2)</f>
        <v>32</v>
      </c>
      <c r="E173" s="26" t="str">
        <f t="shared" ref="E173:E179" si="94">LEFT(F173,3)</f>
        <v>322</v>
      </c>
      <c r="F173" s="26" t="s">
        <v>75</v>
      </c>
      <c r="G173" s="26" t="s">
        <v>264</v>
      </c>
      <c r="H173" s="26" t="s">
        <v>77</v>
      </c>
      <c r="I173" s="27">
        <v>0</v>
      </c>
      <c r="J173" s="27">
        <v>0</v>
      </c>
      <c r="K173" s="27">
        <v>0</v>
      </c>
      <c r="L173" s="27">
        <v>0</v>
      </c>
      <c r="M173" s="27">
        <v>0</v>
      </c>
      <c r="N173" s="27">
        <v>0</v>
      </c>
      <c r="O173" s="27">
        <v>0</v>
      </c>
      <c r="P173" s="28">
        <v>0</v>
      </c>
      <c r="Q173" s="27">
        <f t="shared" ref="Q173:Q179" si="95">J173</f>
        <v>0</v>
      </c>
      <c r="R173" s="27"/>
      <c r="S173" s="27">
        <f t="shared" ref="S173:S179" si="96">R173+Q173</f>
        <v>0</v>
      </c>
      <c r="T173" s="27">
        <f t="shared" ref="T173:T179" si="97">S173</f>
        <v>0</v>
      </c>
      <c r="U173" s="27"/>
      <c r="V173" s="27">
        <f t="shared" ref="V173:V179" si="98">T173-U173</f>
        <v>0</v>
      </c>
      <c r="W173" s="27"/>
      <c r="X173" s="27">
        <f t="shared" ref="X173:X179" si="99">U173+W173</f>
        <v>0</v>
      </c>
      <c r="Y173" s="27">
        <f t="shared" ref="Y173:Y179" si="100">T173-X173</f>
        <v>0</v>
      </c>
    </row>
    <row r="174" spans="1:27" ht="24.95" customHeight="1" outlineLevel="1" x14ac:dyDescent="0.2">
      <c r="A174" s="26" t="s">
        <v>331</v>
      </c>
      <c r="B174" s="30">
        <v>112</v>
      </c>
      <c r="C174" s="30" t="str">
        <f t="shared" si="92"/>
        <v>3</v>
      </c>
      <c r="D174" s="30" t="str">
        <f t="shared" si="93"/>
        <v>32</v>
      </c>
      <c r="E174" s="26" t="str">
        <f t="shared" si="94"/>
        <v>323</v>
      </c>
      <c r="F174" s="26" t="s">
        <v>38</v>
      </c>
      <c r="G174" s="26" t="s">
        <v>265</v>
      </c>
      <c r="H174" s="26" t="s">
        <v>40</v>
      </c>
      <c r="I174" s="27">
        <v>0</v>
      </c>
      <c r="J174" s="27">
        <v>0</v>
      </c>
      <c r="K174" s="27">
        <v>0</v>
      </c>
      <c r="L174" s="27">
        <v>0</v>
      </c>
      <c r="M174" s="27">
        <v>0</v>
      </c>
      <c r="N174" s="27">
        <v>0</v>
      </c>
      <c r="O174" s="27">
        <v>0</v>
      </c>
      <c r="P174" s="28">
        <v>0</v>
      </c>
      <c r="Q174" s="27">
        <f t="shared" si="95"/>
        <v>0</v>
      </c>
      <c r="R174" s="27"/>
      <c r="S174" s="27">
        <f t="shared" si="96"/>
        <v>0</v>
      </c>
      <c r="T174" s="27">
        <f t="shared" si="97"/>
        <v>0</v>
      </c>
      <c r="U174" s="27"/>
      <c r="V174" s="27">
        <f t="shared" si="98"/>
        <v>0</v>
      </c>
      <c r="W174" s="27"/>
      <c r="X174" s="27">
        <f t="shared" si="99"/>
        <v>0</v>
      </c>
      <c r="Y174" s="27">
        <f t="shared" si="100"/>
        <v>0</v>
      </c>
    </row>
    <row r="175" spans="1:27" ht="24.95" customHeight="1" outlineLevel="1" x14ac:dyDescent="0.2">
      <c r="A175" s="26" t="s">
        <v>331</v>
      </c>
      <c r="B175" s="30">
        <v>112</v>
      </c>
      <c r="C175" s="30" t="str">
        <f t="shared" si="92"/>
        <v>4</v>
      </c>
      <c r="D175" s="30" t="str">
        <f t="shared" si="93"/>
        <v>42</v>
      </c>
      <c r="E175" s="26" t="str">
        <f t="shared" si="94"/>
        <v>422</v>
      </c>
      <c r="F175" s="26" t="s">
        <v>27</v>
      </c>
      <c r="G175" s="26" t="s">
        <v>266</v>
      </c>
      <c r="H175" s="26" t="s">
        <v>29</v>
      </c>
      <c r="I175" s="27">
        <v>92800</v>
      </c>
      <c r="J175" s="27">
        <v>47867.78</v>
      </c>
      <c r="K175" s="27">
        <v>44932.22</v>
      </c>
      <c r="L175" s="27">
        <v>0</v>
      </c>
      <c r="M175" s="27">
        <v>47867.78</v>
      </c>
      <c r="N175" s="27">
        <v>0</v>
      </c>
      <c r="O175" s="27">
        <v>44932.22</v>
      </c>
      <c r="P175" s="28">
        <v>0.51600000000000001</v>
      </c>
      <c r="Q175" s="27">
        <f t="shared" si="95"/>
        <v>47867.78</v>
      </c>
      <c r="R175" s="27"/>
      <c r="S175" s="27">
        <f t="shared" si="96"/>
        <v>47867.78</v>
      </c>
      <c r="T175" s="27">
        <f t="shared" si="97"/>
        <v>47867.78</v>
      </c>
      <c r="U175" s="27">
        <v>51118.87</v>
      </c>
      <c r="V175" s="27">
        <f t="shared" si="98"/>
        <v>-3251.0900000000038</v>
      </c>
      <c r="W175" s="27"/>
      <c r="X175" s="27">
        <f t="shared" si="99"/>
        <v>51118.87</v>
      </c>
      <c r="Y175" s="27">
        <f t="shared" si="100"/>
        <v>-3251.0900000000038</v>
      </c>
    </row>
    <row r="176" spans="1:27" ht="24.95" customHeight="1" outlineLevel="1" x14ac:dyDescent="0.2">
      <c r="A176" s="26" t="s">
        <v>331</v>
      </c>
      <c r="B176" s="30">
        <v>112</v>
      </c>
      <c r="C176" s="30" t="str">
        <f t="shared" si="92"/>
        <v>4</v>
      </c>
      <c r="D176" s="30" t="str">
        <f t="shared" si="93"/>
        <v>42</v>
      </c>
      <c r="E176" s="26" t="str">
        <f t="shared" si="94"/>
        <v>422</v>
      </c>
      <c r="F176" s="26" t="s">
        <v>30</v>
      </c>
      <c r="G176" s="26" t="s">
        <v>267</v>
      </c>
      <c r="H176" s="26" t="s">
        <v>32</v>
      </c>
      <c r="I176" s="27">
        <v>0</v>
      </c>
      <c r="J176" s="27">
        <v>0</v>
      </c>
      <c r="K176" s="27">
        <v>0</v>
      </c>
      <c r="L176" s="27">
        <v>0</v>
      </c>
      <c r="M176" s="27">
        <v>0</v>
      </c>
      <c r="N176" s="27">
        <v>0</v>
      </c>
      <c r="O176" s="27">
        <v>0</v>
      </c>
      <c r="P176" s="28">
        <v>0</v>
      </c>
      <c r="Q176" s="27">
        <f t="shared" si="95"/>
        <v>0</v>
      </c>
      <c r="R176" s="27"/>
      <c r="S176" s="27">
        <f t="shared" si="96"/>
        <v>0</v>
      </c>
      <c r="T176" s="27">
        <f t="shared" si="97"/>
        <v>0</v>
      </c>
      <c r="U176" s="27"/>
      <c r="V176" s="27">
        <f t="shared" si="98"/>
        <v>0</v>
      </c>
      <c r="W176" s="27"/>
      <c r="X176" s="27">
        <f t="shared" si="99"/>
        <v>0</v>
      </c>
      <c r="Y176" s="27">
        <f t="shared" si="100"/>
        <v>0</v>
      </c>
    </row>
    <row r="177" spans="1:29" ht="24.95" customHeight="1" outlineLevel="1" x14ac:dyDescent="0.2">
      <c r="A177" s="26" t="s">
        <v>331</v>
      </c>
      <c r="B177" s="30">
        <v>112</v>
      </c>
      <c r="C177" s="30" t="str">
        <f t="shared" si="92"/>
        <v>4</v>
      </c>
      <c r="D177" s="30" t="str">
        <f t="shared" si="93"/>
        <v>42</v>
      </c>
      <c r="E177" s="26" t="str">
        <f t="shared" si="94"/>
        <v>423</v>
      </c>
      <c r="F177" s="26" t="s">
        <v>14</v>
      </c>
      <c r="G177" s="26" t="s">
        <v>268</v>
      </c>
      <c r="H177" s="26" t="s">
        <v>16</v>
      </c>
      <c r="I177" s="27">
        <v>168000</v>
      </c>
      <c r="J177" s="27">
        <v>0</v>
      </c>
      <c r="K177" s="27">
        <v>168000</v>
      </c>
      <c r="L177" s="27">
        <v>0</v>
      </c>
      <c r="M177" s="27">
        <v>0</v>
      </c>
      <c r="N177" s="27">
        <v>0</v>
      </c>
      <c r="O177" s="27">
        <v>168000</v>
      </c>
      <c r="P177" s="28">
        <v>0</v>
      </c>
      <c r="Q177" s="27">
        <f t="shared" si="95"/>
        <v>0</v>
      </c>
      <c r="R177" s="27"/>
      <c r="S177" s="27">
        <f t="shared" si="96"/>
        <v>0</v>
      </c>
      <c r="T177" s="27">
        <f t="shared" si="97"/>
        <v>0</v>
      </c>
      <c r="U177" s="27"/>
      <c r="V177" s="27">
        <f t="shared" si="98"/>
        <v>0</v>
      </c>
      <c r="W177" s="27"/>
      <c r="X177" s="27">
        <f t="shared" si="99"/>
        <v>0</v>
      </c>
      <c r="Y177" s="27">
        <f t="shared" si="100"/>
        <v>0</v>
      </c>
    </row>
    <row r="178" spans="1:29" ht="24.95" customHeight="1" outlineLevel="1" x14ac:dyDescent="0.2">
      <c r="A178" s="26" t="s">
        <v>331</v>
      </c>
      <c r="B178" s="30">
        <v>112</v>
      </c>
      <c r="C178" s="30" t="str">
        <f t="shared" si="92"/>
        <v>4</v>
      </c>
      <c r="D178" s="30" t="str">
        <f t="shared" si="93"/>
        <v>42</v>
      </c>
      <c r="E178" s="26" t="str">
        <f t="shared" si="94"/>
        <v>424</v>
      </c>
      <c r="F178" s="26" t="s">
        <v>17</v>
      </c>
      <c r="G178" s="26" t="s">
        <v>269</v>
      </c>
      <c r="H178" s="26" t="s">
        <v>19</v>
      </c>
      <c r="I178" s="27">
        <v>1426000</v>
      </c>
      <c r="J178" s="27">
        <v>1191612.28</v>
      </c>
      <c r="K178" s="27">
        <v>234387.72</v>
      </c>
      <c r="L178" s="27">
        <v>0</v>
      </c>
      <c r="M178" s="27">
        <v>1191612.28</v>
      </c>
      <c r="N178" s="27">
        <v>0</v>
      </c>
      <c r="O178" s="27">
        <v>234387.72</v>
      </c>
      <c r="P178" s="28">
        <v>0.83599999999999997</v>
      </c>
      <c r="Q178" s="27">
        <f t="shared" si="95"/>
        <v>1191612.28</v>
      </c>
      <c r="R178" s="27">
        <v>108387.72</v>
      </c>
      <c r="S178" s="27">
        <f t="shared" si="96"/>
        <v>1300000</v>
      </c>
      <c r="T178" s="27">
        <f t="shared" si="97"/>
        <v>1300000</v>
      </c>
      <c r="U178" s="27">
        <v>1299981.3700000001</v>
      </c>
      <c r="V178" s="27">
        <f t="shared" si="98"/>
        <v>18.629999999888241</v>
      </c>
      <c r="W178" s="27"/>
      <c r="X178" s="27">
        <f t="shared" si="99"/>
        <v>1299981.3700000001</v>
      </c>
      <c r="Y178" s="27">
        <f t="shared" si="100"/>
        <v>18.629999999888241</v>
      </c>
    </row>
    <row r="179" spans="1:29" ht="24.95" customHeight="1" outlineLevel="1" x14ac:dyDescent="0.2">
      <c r="A179" s="26" t="s">
        <v>331</v>
      </c>
      <c r="B179" s="30">
        <v>112</v>
      </c>
      <c r="C179" s="30" t="str">
        <f t="shared" si="92"/>
        <v>4</v>
      </c>
      <c r="D179" s="30" t="str">
        <f t="shared" si="93"/>
        <v>45</v>
      </c>
      <c r="E179" s="26" t="str">
        <f t="shared" si="94"/>
        <v>451</v>
      </c>
      <c r="F179" s="26" t="s">
        <v>23</v>
      </c>
      <c r="G179" s="26" t="s">
        <v>270</v>
      </c>
      <c r="H179" s="26" t="s">
        <v>25</v>
      </c>
      <c r="I179" s="27">
        <v>430400</v>
      </c>
      <c r="J179" s="27">
        <v>9392.9599999999991</v>
      </c>
      <c r="K179" s="27">
        <v>421007.04</v>
      </c>
      <c r="L179" s="27">
        <v>0</v>
      </c>
      <c r="M179" s="27">
        <v>9392.9599999999991</v>
      </c>
      <c r="N179" s="27">
        <v>0</v>
      </c>
      <c r="O179" s="27">
        <v>421007.04</v>
      </c>
      <c r="P179" s="28">
        <v>2.1999999999999999E-2</v>
      </c>
      <c r="Q179" s="27">
        <f t="shared" si="95"/>
        <v>9392.9599999999991</v>
      </c>
      <c r="R179" s="27"/>
      <c r="S179" s="27">
        <f t="shared" si="96"/>
        <v>9392.9599999999991</v>
      </c>
      <c r="T179" s="27">
        <f t="shared" si="97"/>
        <v>9392.9599999999991</v>
      </c>
      <c r="U179" s="27">
        <v>9392.9599999999991</v>
      </c>
      <c r="V179" s="27">
        <f t="shared" si="98"/>
        <v>0</v>
      </c>
      <c r="W179" s="27"/>
      <c r="X179" s="27">
        <f t="shared" si="99"/>
        <v>9392.9599999999991</v>
      </c>
      <c r="Y179" s="27">
        <f t="shared" si="100"/>
        <v>0</v>
      </c>
    </row>
    <row r="180" spans="1:29" ht="20.100000000000001" customHeight="1" x14ac:dyDescent="0.2">
      <c r="F180" s="216" t="s">
        <v>129</v>
      </c>
      <c r="G180" s="216"/>
      <c r="H180" s="216"/>
      <c r="I180" s="52">
        <f>SUMIFS(I181:I347,$A181:$A347,"K212401",$B181:$B347,"431")</f>
        <v>57500</v>
      </c>
      <c r="J180" s="52">
        <f t="shared" ref="J180:O180" si="101">SUMIFS(J181:J347,$A181:$A347,"K212401",$B181:$B347,"431")</f>
        <v>59778.66</v>
      </c>
      <c r="K180" s="52">
        <f t="shared" si="101"/>
        <v>-2278.66</v>
      </c>
      <c r="L180" s="52">
        <f t="shared" si="101"/>
        <v>0</v>
      </c>
      <c r="M180" s="52">
        <f t="shared" si="101"/>
        <v>59778.66</v>
      </c>
      <c r="N180" s="52">
        <f t="shared" si="101"/>
        <v>0</v>
      </c>
      <c r="O180" s="52">
        <f t="shared" si="101"/>
        <v>-2278.66</v>
      </c>
      <c r="P180" s="53">
        <v>1.04</v>
      </c>
      <c r="Q180" s="52">
        <f t="shared" ref="Q180:Y180" si="102">SUMIFS(Q181:Q347,$A181:$A347,"K212401",$B181:$B347,"431")</f>
        <v>59778.66</v>
      </c>
      <c r="R180" s="52">
        <f t="shared" si="102"/>
        <v>0</v>
      </c>
      <c r="S180" s="52">
        <f t="shared" si="102"/>
        <v>59778.66</v>
      </c>
      <c r="T180" s="52">
        <f t="shared" si="102"/>
        <v>94349.21</v>
      </c>
      <c r="U180" s="52">
        <f t="shared" si="102"/>
        <v>94349.21</v>
      </c>
      <c r="V180" s="52">
        <f t="shared" si="102"/>
        <v>0</v>
      </c>
      <c r="W180" s="52"/>
      <c r="X180" s="52">
        <f t="shared" si="102"/>
        <v>94349.21</v>
      </c>
      <c r="Y180" s="52">
        <f t="shared" si="102"/>
        <v>0</v>
      </c>
    </row>
    <row r="181" spans="1:29" ht="24.95" customHeight="1" outlineLevel="1" x14ac:dyDescent="0.2">
      <c r="A181" s="26" t="s">
        <v>331</v>
      </c>
      <c r="B181" s="30">
        <v>431</v>
      </c>
      <c r="C181" s="30" t="str">
        <f>LEFT(F181,1)</f>
        <v>4</v>
      </c>
      <c r="D181" s="30" t="str">
        <f>LEFT(F181,2)</f>
        <v>42</v>
      </c>
      <c r="E181" s="26" t="str">
        <f t="shared" ref="E181:E205" si="103">LEFT(F181,3)</f>
        <v>422</v>
      </c>
      <c r="F181" s="26" t="s">
        <v>27</v>
      </c>
      <c r="G181" s="26" t="s">
        <v>271</v>
      </c>
      <c r="H181" s="26" t="s">
        <v>29</v>
      </c>
      <c r="I181" s="27">
        <v>36500</v>
      </c>
      <c r="J181" s="27">
        <f t="shared" ref="J181:J189" si="104">I181-K181</f>
        <v>57707.68</v>
      </c>
      <c r="K181" s="27">
        <v>-21207.68</v>
      </c>
      <c r="L181" s="27">
        <v>0</v>
      </c>
      <c r="M181" s="27">
        <v>57707.68</v>
      </c>
      <c r="N181" s="27">
        <v>0</v>
      </c>
      <c r="O181" s="27">
        <v>-21207.68</v>
      </c>
      <c r="P181" s="28">
        <v>1.581</v>
      </c>
      <c r="Q181" s="27">
        <f>J181</f>
        <v>57707.68</v>
      </c>
      <c r="R181" s="27"/>
      <c r="S181" s="27">
        <f t="shared" ref="S181:S189" si="105">R181+Q181</f>
        <v>57707.68</v>
      </c>
      <c r="T181" s="27">
        <f t="shared" ref="T181:T189" si="106">U181</f>
        <v>75175.37</v>
      </c>
      <c r="U181" s="27">
        <v>75175.37</v>
      </c>
      <c r="V181" s="27">
        <f t="shared" ref="V181:V189" si="107">T181-U181</f>
        <v>0</v>
      </c>
      <c r="W181" s="27"/>
      <c r="X181" s="27">
        <f t="shared" ref="X181:X189" si="108">U181+W181</f>
        <v>75175.37</v>
      </c>
      <c r="Y181" s="27">
        <f t="shared" ref="Y181:Y189" si="109">T181-X181</f>
        <v>0</v>
      </c>
    </row>
    <row r="182" spans="1:29" ht="24.95" customHeight="1" outlineLevel="1" x14ac:dyDescent="0.2">
      <c r="A182" s="26" t="s">
        <v>331</v>
      </c>
      <c r="B182" s="30">
        <v>431</v>
      </c>
      <c r="C182" s="30" t="str">
        <f>LEFT(F182,1)</f>
        <v>4</v>
      </c>
      <c r="D182" s="30" t="str">
        <f>LEFT(F182,2)</f>
        <v>42</v>
      </c>
      <c r="E182" s="26" t="str">
        <f t="shared" si="103"/>
        <v>422</v>
      </c>
      <c r="F182" s="26" t="s">
        <v>272</v>
      </c>
      <c r="G182" s="26" t="s">
        <v>273</v>
      </c>
      <c r="H182" s="26" t="s">
        <v>274</v>
      </c>
      <c r="I182" s="27">
        <v>0</v>
      </c>
      <c r="J182" s="27">
        <f t="shared" si="104"/>
        <v>0</v>
      </c>
      <c r="K182" s="27">
        <v>0</v>
      </c>
      <c r="L182" s="27">
        <v>0</v>
      </c>
      <c r="M182" s="27">
        <v>0</v>
      </c>
      <c r="N182" s="27">
        <v>0</v>
      </c>
      <c r="O182" s="27">
        <v>0</v>
      </c>
      <c r="P182" s="28">
        <v>0</v>
      </c>
      <c r="Q182" s="27">
        <f>J182</f>
        <v>0</v>
      </c>
      <c r="R182" s="27"/>
      <c r="S182" s="27">
        <f t="shared" si="105"/>
        <v>0</v>
      </c>
      <c r="T182" s="27">
        <f t="shared" si="106"/>
        <v>0</v>
      </c>
      <c r="U182" s="27"/>
      <c r="V182" s="27">
        <f t="shared" si="107"/>
        <v>0</v>
      </c>
      <c r="W182" s="27"/>
      <c r="X182" s="27">
        <f t="shared" si="108"/>
        <v>0</v>
      </c>
      <c r="Y182" s="27">
        <f t="shared" si="109"/>
        <v>0</v>
      </c>
    </row>
    <row r="183" spans="1:29" ht="24.95" customHeight="1" outlineLevel="1" x14ac:dyDescent="0.2">
      <c r="A183" s="26" t="s">
        <v>331</v>
      </c>
      <c r="B183" s="30">
        <v>431</v>
      </c>
      <c r="C183" s="30" t="str">
        <f>LEFT(F183,1)</f>
        <v>4</v>
      </c>
      <c r="D183" s="30" t="str">
        <f>LEFT(F183,2)</f>
        <v>42</v>
      </c>
      <c r="E183" s="26" t="str">
        <f t="shared" si="103"/>
        <v>422</v>
      </c>
      <c r="F183" s="26" t="s">
        <v>30</v>
      </c>
      <c r="G183" s="26" t="s">
        <v>275</v>
      </c>
      <c r="H183" s="26" t="s">
        <v>32</v>
      </c>
      <c r="I183" s="27">
        <v>15000</v>
      </c>
      <c r="J183" s="27">
        <f t="shared" si="104"/>
        <v>425</v>
      </c>
      <c r="K183" s="27">
        <v>14575</v>
      </c>
      <c r="L183" s="27">
        <v>0</v>
      </c>
      <c r="M183" s="27">
        <v>425</v>
      </c>
      <c r="N183" s="27">
        <v>0</v>
      </c>
      <c r="O183" s="27">
        <v>14575</v>
      </c>
      <c r="P183" s="28">
        <v>2.8000000000000001E-2</v>
      </c>
      <c r="Q183" s="27">
        <f>J183</f>
        <v>425</v>
      </c>
      <c r="R183" s="27"/>
      <c r="S183" s="27">
        <f t="shared" si="105"/>
        <v>425</v>
      </c>
      <c r="T183" s="27">
        <f t="shared" si="106"/>
        <v>14600.54</v>
      </c>
      <c r="U183" s="27">
        <v>14600.54</v>
      </c>
      <c r="V183" s="27">
        <f t="shared" si="107"/>
        <v>0</v>
      </c>
      <c r="W183" s="27"/>
      <c r="X183" s="27">
        <f t="shared" si="108"/>
        <v>14600.54</v>
      </c>
      <c r="Y183" s="27">
        <f t="shared" si="109"/>
        <v>0</v>
      </c>
    </row>
    <row r="184" spans="1:29" ht="24.95" customHeight="1" outlineLevel="1" x14ac:dyDescent="0.2">
      <c r="A184" s="26" t="s">
        <v>331</v>
      </c>
      <c r="B184" s="30">
        <v>431</v>
      </c>
      <c r="C184" s="30" t="str">
        <f>LEFT(F184,1)</f>
        <v>4</v>
      </c>
      <c r="D184" s="30" t="str">
        <f>LEFT(F184,2)</f>
        <v>42</v>
      </c>
      <c r="E184" s="26" t="str">
        <f t="shared" si="103"/>
        <v>422</v>
      </c>
      <c r="F184" s="26" t="s">
        <v>276</v>
      </c>
      <c r="G184" s="26" t="s">
        <v>277</v>
      </c>
      <c r="H184" s="26" t="s">
        <v>278</v>
      </c>
      <c r="I184" s="27">
        <v>0</v>
      </c>
      <c r="J184" s="27">
        <f t="shared" si="104"/>
        <v>0</v>
      </c>
      <c r="K184" s="27">
        <v>0</v>
      </c>
      <c r="L184" s="27">
        <v>0</v>
      </c>
      <c r="M184" s="27">
        <v>0</v>
      </c>
      <c r="N184" s="27">
        <v>0</v>
      </c>
      <c r="O184" s="27">
        <v>0</v>
      </c>
      <c r="P184" s="28">
        <v>0</v>
      </c>
      <c r="Q184" s="27">
        <f>J184</f>
        <v>0</v>
      </c>
      <c r="R184" s="27"/>
      <c r="S184" s="27">
        <f t="shared" si="105"/>
        <v>0</v>
      </c>
      <c r="T184" s="27">
        <f t="shared" si="106"/>
        <v>0</v>
      </c>
      <c r="U184" s="27"/>
      <c r="V184" s="27">
        <f t="shared" si="107"/>
        <v>0</v>
      </c>
      <c r="W184" s="27"/>
      <c r="X184" s="27">
        <f t="shared" si="108"/>
        <v>0</v>
      </c>
      <c r="Y184" s="27">
        <f t="shared" si="109"/>
        <v>0</v>
      </c>
    </row>
    <row r="185" spans="1:29" ht="24.95" customHeight="1" outlineLevel="1" x14ac:dyDescent="0.2">
      <c r="J185" s="27">
        <f t="shared" si="104"/>
        <v>0</v>
      </c>
      <c r="S185" s="27">
        <f t="shared" si="105"/>
        <v>0</v>
      </c>
      <c r="T185" s="27">
        <f t="shared" si="106"/>
        <v>0</v>
      </c>
      <c r="V185" s="27">
        <f t="shared" si="107"/>
        <v>0</v>
      </c>
      <c r="W185" s="27"/>
      <c r="X185" s="25">
        <f t="shared" si="108"/>
        <v>0</v>
      </c>
      <c r="Y185" s="27">
        <f t="shared" si="109"/>
        <v>0</v>
      </c>
    </row>
    <row r="186" spans="1:29" outlineLevel="1" x14ac:dyDescent="0.2">
      <c r="A186" s="26" t="s">
        <v>331</v>
      </c>
      <c r="B186" s="30">
        <v>431</v>
      </c>
      <c r="C186" s="30" t="str">
        <f>LEFT(F186,1)</f>
        <v>4</v>
      </c>
      <c r="D186" s="30" t="str">
        <f>LEFT(F186,2)</f>
        <v>42</v>
      </c>
      <c r="E186" s="26" t="str">
        <f t="shared" si="103"/>
        <v>423</v>
      </c>
      <c r="F186" s="4" t="s">
        <v>14</v>
      </c>
      <c r="G186" s="4" t="s">
        <v>15</v>
      </c>
      <c r="H186" s="4" t="s">
        <v>16</v>
      </c>
      <c r="I186" s="5">
        <v>1500</v>
      </c>
      <c r="J186" s="27">
        <f t="shared" si="104"/>
        <v>1500</v>
      </c>
      <c r="K186" s="5">
        <v>0</v>
      </c>
      <c r="L186" s="5">
        <v>0</v>
      </c>
      <c r="M186" s="5">
        <v>1500</v>
      </c>
      <c r="N186" s="5">
        <v>0</v>
      </c>
      <c r="O186" s="5">
        <v>0</v>
      </c>
      <c r="P186" s="6">
        <v>1</v>
      </c>
      <c r="Q186" s="27">
        <f>J186</f>
        <v>1500</v>
      </c>
      <c r="R186" s="27"/>
      <c r="S186" s="27">
        <f t="shared" si="105"/>
        <v>1500</v>
      </c>
      <c r="T186" s="27">
        <f t="shared" si="106"/>
        <v>1500</v>
      </c>
      <c r="U186" s="27">
        <v>1500</v>
      </c>
      <c r="V186" s="27">
        <f t="shared" si="107"/>
        <v>0</v>
      </c>
      <c r="W186" s="27"/>
      <c r="X186" s="27">
        <f t="shared" si="108"/>
        <v>1500</v>
      </c>
      <c r="Y186" s="27">
        <f t="shared" si="109"/>
        <v>0</v>
      </c>
    </row>
    <row r="187" spans="1:29" outlineLevel="1" x14ac:dyDescent="0.2">
      <c r="A187" s="26" t="s">
        <v>331</v>
      </c>
      <c r="B187" s="30">
        <v>431</v>
      </c>
      <c r="C187" s="30" t="str">
        <f>LEFT(F187,1)</f>
        <v>4</v>
      </c>
      <c r="D187" s="30" t="str">
        <f>LEFT(F187,2)</f>
        <v>42</v>
      </c>
      <c r="E187" s="26" t="str">
        <f t="shared" si="103"/>
        <v>424</v>
      </c>
      <c r="F187" s="4" t="s">
        <v>17</v>
      </c>
      <c r="G187" s="4" t="s">
        <v>18</v>
      </c>
      <c r="H187" s="4" t="s">
        <v>19</v>
      </c>
      <c r="I187" s="5">
        <v>0</v>
      </c>
      <c r="J187" s="27">
        <f t="shared" si="104"/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6">
        <v>0</v>
      </c>
      <c r="Q187" s="27">
        <f>J187</f>
        <v>0</v>
      </c>
      <c r="R187" s="27"/>
      <c r="S187" s="27">
        <f t="shared" si="105"/>
        <v>0</v>
      </c>
      <c r="T187" s="27">
        <f t="shared" si="106"/>
        <v>10.3</v>
      </c>
      <c r="U187" s="27">
        <v>10.3</v>
      </c>
      <c r="V187" s="27">
        <f t="shared" si="107"/>
        <v>0</v>
      </c>
      <c r="W187" s="27"/>
      <c r="X187" s="27">
        <f t="shared" si="108"/>
        <v>10.3</v>
      </c>
      <c r="Y187" s="27">
        <f t="shared" si="109"/>
        <v>0</v>
      </c>
    </row>
    <row r="188" spans="1:29" outlineLevel="1" x14ac:dyDescent="0.2">
      <c r="A188" s="26" t="s">
        <v>331</v>
      </c>
      <c r="B188" s="30">
        <v>431</v>
      </c>
      <c r="C188" s="30" t="str">
        <f>LEFT(F188,1)</f>
        <v>4</v>
      </c>
      <c r="D188" s="30" t="str">
        <f>LEFT(F188,2)</f>
        <v>42</v>
      </c>
      <c r="E188" s="26" t="str">
        <f t="shared" si="103"/>
        <v>426</v>
      </c>
      <c r="F188" s="4" t="s">
        <v>20</v>
      </c>
      <c r="G188" s="4" t="s">
        <v>21</v>
      </c>
      <c r="H188" s="4" t="s">
        <v>22</v>
      </c>
      <c r="I188" s="5">
        <v>4500</v>
      </c>
      <c r="J188" s="27">
        <f t="shared" si="104"/>
        <v>145.97999999999956</v>
      </c>
      <c r="K188" s="5">
        <v>4354.0200000000004</v>
      </c>
      <c r="L188" s="5">
        <v>0</v>
      </c>
      <c r="M188" s="5">
        <v>145.97999999999999</v>
      </c>
      <c r="N188" s="5">
        <v>0</v>
      </c>
      <c r="O188" s="5">
        <v>4354.0200000000004</v>
      </c>
      <c r="P188" s="6">
        <v>3.2000000000000001E-2</v>
      </c>
      <c r="Q188" s="27">
        <f>J188</f>
        <v>145.97999999999956</v>
      </c>
      <c r="R188" s="27"/>
      <c r="S188" s="27">
        <f t="shared" si="105"/>
        <v>145.97999999999956</v>
      </c>
      <c r="T188" s="27">
        <f t="shared" si="106"/>
        <v>3063</v>
      </c>
      <c r="U188" s="27">
        <v>3063</v>
      </c>
      <c r="V188" s="27">
        <f t="shared" si="107"/>
        <v>0</v>
      </c>
      <c r="W188" s="27"/>
      <c r="X188" s="27">
        <f t="shared" si="108"/>
        <v>3063</v>
      </c>
      <c r="Y188" s="27">
        <f t="shared" si="109"/>
        <v>0</v>
      </c>
    </row>
    <row r="189" spans="1:29" outlineLevel="1" x14ac:dyDescent="0.2">
      <c r="A189" s="26" t="s">
        <v>331</v>
      </c>
      <c r="B189" s="30">
        <v>431</v>
      </c>
      <c r="C189" s="30" t="str">
        <f>LEFT(F189,1)</f>
        <v>4</v>
      </c>
      <c r="D189" s="30" t="str">
        <f>LEFT(F189,2)</f>
        <v>45</v>
      </c>
      <c r="E189" s="26" t="str">
        <f t="shared" si="103"/>
        <v>451</v>
      </c>
      <c r="F189" s="4" t="s">
        <v>23</v>
      </c>
      <c r="G189" s="4" t="s">
        <v>24</v>
      </c>
      <c r="H189" s="4" t="s">
        <v>25</v>
      </c>
      <c r="I189" s="5">
        <v>0</v>
      </c>
      <c r="J189" s="27">
        <f t="shared" si="104"/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6">
        <v>0</v>
      </c>
      <c r="Q189" s="27">
        <f>J189</f>
        <v>0</v>
      </c>
      <c r="R189" s="27"/>
      <c r="S189" s="27">
        <f t="shared" si="105"/>
        <v>0</v>
      </c>
      <c r="T189" s="27">
        <f t="shared" si="106"/>
        <v>0</v>
      </c>
      <c r="U189" s="27"/>
      <c r="V189" s="27">
        <f t="shared" si="107"/>
        <v>0</v>
      </c>
      <c r="W189" s="27"/>
      <c r="X189" s="27">
        <f t="shared" si="108"/>
        <v>0</v>
      </c>
      <c r="Y189" s="27">
        <f t="shared" si="109"/>
        <v>0</v>
      </c>
      <c r="Z189" s="38" t="s">
        <v>347</v>
      </c>
      <c r="AA189" s="38" t="s">
        <v>351</v>
      </c>
      <c r="AB189" s="38" t="s">
        <v>348</v>
      </c>
      <c r="AC189" s="38" t="s">
        <v>349</v>
      </c>
    </row>
    <row r="190" spans="1:29" ht="20.100000000000001" customHeight="1" x14ac:dyDescent="0.2">
      <c r="F190" s="216" t="s">
        <v>26</v>
      </c>
      <c r="G190" s="216"/>
      <c r="H190" s="216"/>
      <c r="I190" s="52">
        <f>SUMIFS(I191:I357,$A191:$A357,"K212401",$B191:$B357,"521")</f>
        <v>548500</v>
      </c>
      <c r="J190" s="52">
        <f t="shared" ref="J190:O190" si="110">SUMIFS(J191:J357,$A191:$A357,"K212401",$B191:$B357,"521")</f>
        <v>391956.57</v>
      </c>
      <c r="K190" s="52">
        <f t="shared" si="110"/>
        <v>156543.43</v>
      </c>
      <c r="L190" s="52">
        <f t="shared" si="110"/>
        <v>0</v>
      </c>
      <c r="M190" s="52">
        <f t="shared" si="110"/>
        <v>391956.57</v>
      </c>
      <c r="N190" s="52">
        <f t="shared" si="110"/>
        <v>0</v>
      </c>
      <c r="O190" s="52">
        <f t="shared" si="110"/>
        <v>156543.43</v>
      </c>
      <c r="P190" s="53">
        <v>0.71499999999999997</v>
      </c>
      <c r="Q190" s="52">
        <f t="shared" ref="Q190:Y190" si="111">SUMIFS(Q191:Q357,$A191:$A357,"K212401",$B191:$B357,"521")</f>
        <v>391956.57</v>
      </c>
      <c r="R190" s="52">
        <f t="shared" si="111"/>
        <v>0</v>
      </c>
      <c r="S190" s="52">
        <f t="shared" si="111"/>
        <v>391956.57</v>
      </c>
      <c r="T190" s="52">
        <f t="shared" si="111"/>
        <v>701678.55</v>
      </c>
      <c r="U190" s="52">
        <f t="shared" si="111"/>
        <v>701678.55</v>
      </c>
      <c r="V190" s="52">
        <f t="shared" si="111"/>
        <v>0</v>
      </c>
      <c r="W190" s="52"/>
      <c r="X190" s="52">
        <f t="shared" si="111"/>
        <v>701678.55</v>
      </c>
      <c r="Y190" s="52">
        <f t="shared" si="111"/>
        <v>0</v>
      </c>
      <c r="Z190" s="52">
        <f>SUMIFS(Z191:Z357,$A191:$A357,"K212401",$B191:$B357,"521")</f>
        <v>342764.86</v>
      </c>
      <c r="AA190" s="52">
        <f>SUMIFS(AA191:AA357,$A191:$A357,"K212401",$B191:$B357,"521")</f>
        <v>319999.93</v>
      </c>
      <c r="AB190" s="52">
        <f>SUMIFS(AB191:AB357,$A191:$A357,"K212401",$B191:$B357,"521")</f>
        <v>25990.7</v>
      </c>
      <c r="AC190" s="52">
        <f>SUMIFS(AC191:AC357,$A191:$A357,"K212401",$B191:$B357,"521")</f>
        <v>12923.06</v>
      </c>
    </row>
    <row r="191" spans="1:29" outlineLevel="1" x14ac:dyDescent="0.2">
      <c r="A191" s="26" t="s">
        <v>331</v>
      </c>
      <c r="B191" s="30">
        <v>521</v>
      </c>
      <c r="C191" s="30" t="str">
        <f>LEFT(F191,1)</f>
        <v>4</v>
      </c>
      <c r="D191" s="30" t="str">
        <f>LEFT(F191,2)</f>
        <v>42</v>
      </c>
      <c r="E191" s="26" t="str">
        <f t="shared" si="103"/>
        <v>422</v>
      </c>
      <c r="F191" s="4" t="s">
        <v>27</v>
      </c>
      <c r="G191" s="4" t="s">
        <v>28</v>
      </c>
      <c r="H191" s="4" t="s">
        <v>29</v>
      </c>
      <c r="I191" s="5">
        <v>0</v>
      </c>
      <c r="J191" s="27">
        <f>I191-K191</f>
        <v>510.93</v>
      </c>
      <c r="K191" s="5">
        <v>-510.93</v>
      </c>
      <c r="L191" s="5">
        <v>0</v>
      </c>
      <c r="M191" s="5">
        <v>510.93</v>
      </c>
      <c r="N191" s="5">
        <v>0</v>
      </c>
      <c r="O191" s="5">
        <v>-510.93</v>
      </c>
      <c r="P191" s="6">
        <v>0</v>
      </c>
      <c r="Q191" s="27">
        <f>J191</f>
        <v>510.93</v>
      </c>
      <c r="R191" s="27"/>
      <c r="S191" s="27">
        <f>R191+Q191</f>
        <v>510.93</v>
      </c>
      <c r="T191" s="27">
        <f>U191</f>
        <v>221.98</v>
      </c>
      <c r="U191" s="27">
        <f>Z191+AA191+AB191+AC191</f>
        <v>221.98</v>
      </c>
      <c r="V191" s="27">
        <f>T191-U191</f>
        <v>0</v>
      </c>
      <c r="W191" s="27"/>
      <c r="X191" s="27">
        <f>U191+W191</f>
        <v>221.98</v>
      </c>
      <c r="Y191" s="27">
        <f>T191-X191</f>
        <v>0</v>
      </c>
      <c r="Z191" s="27">
        <v>221.98</v>
      </c>
      <c r="AA191" s="27"/>
      <c r="AB191" s="27"/>
      <c r="AC191" s="27"/>
    </row>
    <row r="192" spans="1:29" outlineLevel="1" x14ac:dyDescent="0.2">
      <c r="A192" s="26" t="s">
        <v>331</v>
      </c>
      <c r="B192" s="30">
        <v>521</v>
      </c>
      <c r="C192" s="30" t="str">
        <f>LEFT(F192,1)</f>
        <v>4</v>
      </c>
      <c r="D192" s="30" t="str">
        <f>LEFT(F192,2)</f>
        <v>42</v>
      </c>
      <c r="E192" s="26" t="str">
        <f t="shared" si="103"/>
        <v>422</v>
      </c>
      <c r="F192" s="4" t="s">
        <v>30</v>
      </c>
      <c r="G192" s="4" t="s">
        <v>31</v>
      </c>
      <c r="H192" s="4" t="s">
        <v>32</v>
      </c>
      <c r="I192" s="5">
        <v>0</v>
      </c>
      <c r="J192" s="27">
        <f>I192-K192</f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6">
        <v>0</v>
      </c>
      <c r="Q192" s="27">
        <f>J192</f>
        <v>0</v>
      </c>
      <c r="R192" s="27"/>
      <c r="S192" s="27">
        <f>R192+Q192</f>
        <v>0</v>
      </c>
      <c r="T192" s="27">
        <f>U192</f>
        <v>0</v>
      </c>
      <c r="U192" s="27">
        <f>Z192+AA192+AB192+AC192</f>
        <v>0</v>
      </c>
      <c r="V192" s="27">
        <f>T192-U192</f>
        <v>0</v>
      </c>
      <c r="W192" s="27"/>
      <c r="X192" s="27">
        <f>U192+W192</f>
        <v>0</v>
      </c>
      <c r="Y192" s="27">
        <f>T192-X192</f>
        <v>0</v>
      </c>
      <c r="Z192" s="27"/>
      <c r="AA192" s="27"/>
      <c r="AB192" s="27"/>
      <c r="AC192" s="27"/>
    </row>
    <row r="193" spans="1:29" outlineLevel="1" x14ac:dyDescent="0.2">
      <c r="A193" s="26" t="s">
        <v>331</v>
      </c>
      <c r="B193" s="30">
        <v>521</v>
      </c>
      <c r="C193" s="30" t="str">
        <f>LEFT(F193,1)</f>
        <v>4</v>
      </c>
      <c r="D193" s="30" t="str">
        <f>LEFT(F193,2)</f>
        <v>42</v>
      </c>
      <c r="E193" s="26" t="str">
        <f t="shared" si="103"/>
        <v>424</v>
      </c>
      <c r="F193" s="4" t="s">
        <v>17</v>
      </c>
      <c r="G193" s="4" t="s">
        <v>33</v>
      </c>
      <c r="H193" s="4" t="s">
        <v>19</v>
      </c>
      <c r="I193" s="5">
        <v>548500</v>
      </c>
      <c r="J193" s="27">
        <f>I193-K193</f>
        <v>391445.64</v>
      </c>
      <c r="K193" s="5">
        <v>157054.35999999999</v>
      </c>
      <c r="L193" s="5">
        <v>0</v>
      </c>
      <c r="M193" s="5">
        <v>391445.64</v>
      </c>
      <c r="N193" s="5">
        <v>0</v>
      </c>
      <c r="O193" s="5">
        <v>157054.35999999999</v>
      </c>
      <c r="P193" s="6">
        <v>0.71399999999999997</v>
      </c>
      <c r="Q193" s="27">
        <f>J193</f>
        <v>391445.64</v>
      </c>
      <c r="R193" s="27"/>
      <c r="S193" s="27">
        <f>R193+Q193</f>
        <v>391445.64</v>
      </c>
      <c r="T193" s="27">
        <f>U193</f>
        <v>701456.57000000007</v>
      </c>
      <c r="U193" s="27">
        <f>Z193+AA193+AB193+AC193</f>
        <v>701456.57000000007</v>
      </c>
      <c r="V193" s="27">
        <f>T193-U193</f>
        <v>0</v>
      </c>
      <c r="W193" s="27"/>
      <c r="X193" s="27">
        <f>U193+W193</f>
        <v>701456.57000000007</v>
      </c>
      <c r="Y193" s="27">
        <f>T193-X193</f>
        <v>0</v>
      </c>
      <c r="Z193" s="27">
        <v>342542.88</v>
      </c>
      <c r="AA193" s="27">
        <v>319999.93</v>
      </c>
      <c r="AB193" s="27">
        <v>25990.7</v>
      </c>
      <c r="AC193" s="27">
        <v>12923.06</v>
      </c>
    </row>
    <row r="194" spans="1:29" ht="20.100000000000001" customHeight="1" x14ac:dyDescent="0.2">
      <c r="F194" s="216" t="s">
        <v>34</v>
      </c>
      <c r="G194" s="216"/>
      <c r="H194" s="216"/>
      <c r="I194" s="52">
        <f>SUMIFS(I195:I361,$A195:$A361,"K212401",$B195:$B361,"541")</f>
        <v>800</v>
      </c>
      <c r="J194" s="52">
        <f t="shared" ref="J194:V194" si="112">SUMIFS(J195:J361,$A195:$A361,"K212401",$B195:$B361,"541")</f>
        <v>2221.79</v>
      </c>
      <c r="K194" s="52">
        <f t="shared" si="112"/>
        <v>-1421.79</v>
      </c>
      <c r="L194" s="52">
        <f t="shared" si="112"/>
        <v>0</v>
      </c>
      <c r="M194" s="52">
        <f t="shared" si="112"/>
        <v>2221.79</v>
      </c>
      <c r="N194" s="52">
        <f t="shared" si="112"/>
        <v>0</v>
      </c>
      <c r="O194" s="52">
        <f t="shared" si="112"/>
        <v>-1421.79</v>
      </c>
      <c r="P194" s="53">
        <f t="shared" si="112"/>
        <v>2.7770000000000001</v>
      </c>
      <c r="Q194" s="52">
        <f t="shared" si="112"/>
        <v>2221.79</v>
      </c>
      <c r="R194" s="52">
        <f t="shared" si="112"/>
        <v>0</v>
      </c>
      <c r="S194" s="52">
        <f t="shared" si="112"/>
        <v>2221.79</v>
      </c>
      <c r="T194" s="52">
        <f>SUMIFS(T195:T361,$A195:$A361,"K212401",$B195:$B361,"541")</f>
        <v>2367.77</v>
      </c>
      <c r="U194" s="52">
        <f t="shared" si="112"/>
        <v>2367.77</v>
      </c>
      <c r="V194" s="52">
        <f t="shared" si="112"/>
        <v>0</v>
      </c>
      <c r="W194" s="52"/>
      <c r="X194" s="52">
        <f>SUMIFS(X195:X361,$A195:$A361,"K212401",$B195:$B361,"541")</f>
        <v>2367.77</v>
      </c>
      <c r="Y194" s="52">
        <f>SUMIFS(Y195:Y361,$A195:$A361,"K212401",$B195:$B361,"541")</f>
        <v>0</v>
      </c>
    </row>
    <row r="195" spans="1:29" outlineLevel="1" x14ac:dyDescent="0.2">
      <c r="A195" s="26" t="s">
        <v>331</v>
      </c>
      <c r="B195" s="30">
        <v>541</v>
      </c>
      <c r="C195" s="30" t="str">
        <f>LEFT(F195,1)</f>
        <v>4</v>
      </c>
      <c r="D195" s="30" t="str">
        <f>LEFT(F195,2)</f>
        <v>42</v>
      </c>
      <c r="E195" s="26" t="str">
        <f t="shared" si="103"/>
        <v>422</v>
      </c>
      <c r="F195" s="4" t="s">
        <v>27</v>
      </c>
      <c r="G195" s="4" t="s">
        <v>35</v>
      </c>
      <c r="H195" s="4" t="s">
        <v>29</v>
      </c>
      <c r="I195" s="5">
        <v>800</v>
      </c>
      <c r="J195" s="27">
        <f>I195-K195</f>
        <v>2221.79</v>
      </c>
      <c r="K195" s="5">
        <v>-1421.79</v>
      </c>
      <c r="L195" s="5">
        <v>0</v>
      </c>
      <c r="M195" s="5">
        <v>2221.79</v>
      </c>
      <c r="N195" s="5">
        <v>0</v>
      </c>
      <c r="O195" s="5">
        <v>-1421.79</v>
      </c>
      <c r="P195" s="6">
        <v>2.7770000000000001</v>
      </c>
      <c r="Q195" s="27">
        <f>J195</f>
        <v>2221.79</v>
      </c>
      <c r="R195" s="27"/>
      <c r="S195" s="27">
        <f>R195+Q195</f>
        <v>2221.79</v>
      </c>
      <c r="T195" s="27">
        <f>U195</f>
        <v>2221.79</v>
      </c>
      <c r="U195" s="27">
        <v>2221.79</v>
      </c>
      <c r="V195" s="27">
        <f>T195-U195</f>
        <v>0</v>
      </c>
      <c r="W195" s="27"/>
      <c r="X195" s="27">
        <f>U195+W195</f>
        <v>2221.79</v>
      </c>
      <c r="Y195" s="27">
        <f>T195-X195</f>
        <v>0</v>
      </c>
    </row>
    <row r="196" spans="1:29" outlineLevel="1" x14ac:dyDescent="0.2">
      <c r="A196" s="26" t="s">
        <v>331</v>
      </c>
      <c r="B196" s="30">
        <v>541</v>
      </c>
      <c r="C196" s="30" t="str">
        <f>LEFT(F196,1)</f>
        <v>4</v>
      </c>
      <c r="D196" s="30" t="str">
        <f>LEFT(F196,2)</f>
        <v>42</v>
      </c>
      <c r="E196" s="26" t="str">
        <f t="shared" si="103"/>
        <v>424</v>
      </c>
      <c r="F196" s="4" t="s">
        <v>17</v>
      </c>
      <c r="G196" s="4" t="s">
        <v>36</v>
      </c>
      <c r="H196" s="4" t="s">
        <v>19</v>
      </c>
      <c r="I196" s="5">
        <v>0</v>
      </c>
      <c r="J196" s="27">
        <f>I196-K196</f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6">
        <v>0</v>
      </c>
      <c r="Q196" s="27">
        <f>J196</f>
        <v>0</v>
      </c>
      <c r="R196" s="27"/>
      <c r="S196" s="27">
        <f>R196+Q196</f>
        <v>0</v>
      </c>
      <c r="T196" s="27">
        <f>U196</f>
        <v>145.97999999999999</v>
      </c>
      <c r="U196" s="27">
        <v>145.97999999999999</v>
      </c>
      <c r="V196" s="27">
        <f>T196-U196</f>
        <v>0</v>
      </c>
      <c r="W196" s="27"/>
      <c r="X196" s="27">
        <f>U196+W196</f>
        <v>145.97999999999999</v>
      </c>
      <c r="Y196" s="27">
        <f>T196-X196</f>
        <v>0</v>
      </c>
    </row>
    <row r="197" spans="1:29" ht="20.100000000000001" customHeight="1" x14ac:dyDescent="0.2">
      <c r="F197" s="216" t="s">
        <v>37</v>
      </c>
      <c r="G197" s="216"/>
      <c r="H197" s="216"/>
      <c r="I197" s="52">
        <f>SUMIFS(I198:I364,$A198:$A364,"K212401",$B198:$B364,"571")</f>
        <v>0</v>
      </c>
      <c r="J197" s="52">
        <f t="shared" ref="J197:V197" si="113">SUMIFS(J198:J364,$A198:$A364,"K212401",$B198:$B364,"571")</f>
        <v>0</v>
      </c>
      <c r="K197" s="52">
        <f t="shared" si="113"/>
        <v>0</v>
      </c>
      <c r="L197" s="52">
        <f t="shared" si="113"/>
        <v>0</v>
      </c>
      <c r="M197" s="52">
        <f t="shared" si="113"/>
        <v>0</v>
      </c>
      <c r="N197" s="52">
        <f t="shared" si="113"/>
        <v>0</v>
      </c>
      <c r="O197" s="52">
        <f t="shared" si="113"/>
        <v>0</v>
      </c>
      <c r="P197" s="53">
        <f t="shared" si="113"/>
        <v>0</v>
      </c>
      <c r="Q197" s="52">
        <f t="shared" si="113"/>
        <v>0</v>
      </c>
      <c r="R197" s="52">
        <f t="shared" si="113"/>
        <v>0</v>
      </c>
      <c r="S197" s="52">
        <f t="shared" si="113"/>
        <v>0</v>
      </c>
      <c r="T197" s="52">
        <f>SUMIFS(T198:T364,$A198:$A364,"K212401",$B198:$B364,"571")</f>
        <v>0</v>
      </c>
      <c r="U197" s="52">
        <f t="shared" si="113"/>
        <v>0</v>
      </c>
      <c r="V197" s="52">
        <f t="shared" si="113"/>
        <v>0</v>
      </c>
      <c r="W197" s="52"/>
      <c r="X197" s="52">
        <f>SUMIFS(X198:X364,$A198:$A364,"K212401",$B198:$B364,"571")</f>
        <v>0</v>
      </c>
      <c r="Y197" s="52">
        <f>SUMIFS(Y198:Y364,$A198:$A364,"K212401",$B198:$B364,"571")</f>
        <v>0</v>
      </c>
    </row>
    <row r="198" spans="1:29" outlineLevel="1" x14ac:dyDescent="0.2">
      <c r="A198" s="26" t="s">
        <v>331</v>
      </c>
      <c r="B198" s="30">
        <v>571</v>
      </c>
      <c r="C198" s="30" t="str">
        <f>LEFT(F198,1)</f>
        <v>3</v>
      </c>
      <c r="D198" s="30" t="str">
        <f>LEFT(F198,2)</f>
        <v>32</v>
      </c>
      <c r="E198" s="26" t="str">
        <f t="shared" si="103"/>
        <v>323</v>
      </c>
      <c r="F198" s="4" t="s">
        <v>38</v>
      </c>
      <c r="G198" s="4" t="s">
        <v>39</v>
      </c>
      <c r="H198" s="4" t="s">
        <v>40</v>
      </c>
      <c r="I198" s="5">
        <v>0</v>
      </c>
      <c r="J198" s="27">
        <f>I198-K198</f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6">
        <v>0</v>
      </c>
      <c r="Q198" s="27">
        <f>J198</f>
        <v>0</v>
      </c>
      <c r="R198" s="27"/>
      <c r="S198" s="27">
        <f>R198+Q198</f>
        <v>0</v>
      </c>
      <c r="T198" s="27">
        <f>U198</f>
        <v>0</v>
      </c>
      <c r="U198" s="27"/>
      <c r="V198" s="27">
        <f>T198-U198</f>
        <v>0</v>
      </c>
      <c r="W198" s="27"/>
      <c r="X198" s="27">
        <f>U198+W198</f>
        <v>0</v>
      </c>
      <c r="Y198" s="27">
        <f>T198-X198</f>
        <v>0</v>
      </c>
    </row>
    <row r="199" spans="1:29" outlineLevel="1" x14ac:dyDescent="0.2">
      <c r="A199" s="26" t="s">
        <v>331</v>
      </c>
      <c r="B199" s="30">
        <v>571</v>
      </c>
      <c r="C199" s="30" t="str">
        <f>LEFT(F199,1)</f>
        <v>3</v>
      </c>
      <c r="D199" s="30" t="str">
        <f>LEFT(F199,2)</f>
        <v>32</v>
      </c>
      <c r="E199" s="26" t="str">
        <f t="shared" si="103"/>
        <v>323</v>
      </c>
      <c r="F199" s="4" t="s">
        <v>41</v>
      </c>
      <c r="G199" s="4" t="s">
        <v>42</v>
      </c>
      <c r="H199" s="4" t="s">
        <v>43</v>
      </c>
      <c r="I199" s="5">
        <v>0</v>
      </c>
      <c r="J199" s="27">
        <f>I199-K199</f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6">
        <v>0</v>
      </c>
      <c r="Q199" s="27">
        <f>J199</f>
        <v>0</v>
      </c>
      <c r="R199" s="27"/>
      <c r="S199" s="27">
        <f>R199+Q199</f>
        <v>0</v>
      </c>
      <c r="T199" s="27">
        <f>U199</f>
        <v>0</v>
      </c>
      <c r="U199" s="27"/>
      <c r="V199" s="27">
        <f>T199-U199</f>
        <v>0</v>
      </c>
      <c r="W199" s="27"/>
      <c r="X199" s="27">
        <f>U199+W199</f>
        <v>0</v>
      </c>
      <c r="Y199" s="27">
        <f>T199-X199</f>
        <v>0</v>
      </c>
    </row>
    <row r="200" spans="1:29" outlineLevel="1" x14ac:dyDescent="0.2">
      <c r="A200" s="26" t="s">
        <v>331</v>
      </c>
      <c r="B200" s="30">
        <v>571</v>
      </c>
      <c r="C200" s="30" t="str">
        <f>LEFT(F200,1)</f>
        <v>4</v>
      </c>
      <c r="D200" s="30" t="str">
        <f>LEFT(F200,2)</f>
        <v>45</v>
      </c>
      <c r="E200" s="26" t="str">
        <f t="shared" si="103"/>
        <v>451</v>
      </c>
      <c r="F200" s="4" t="s">
        <v>23</v>
      </c>
      <c r="G200" s="4" t="s">
        <v>44</v>
      </c>
      <c r="H200" s="4" t="s">
        <v>25</v>
      </c>
      <c r="I200" s="5">
        <v>0</v>
      </c>
      <c r="J200" s="27">
        <f>I200-K200</f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6">
        <v>0</v>
      </c>
      <c r="Q200" s="27">
        <f>J200</f>
        <v>0</v>
      </c>
      <c r="R200" s="27"/>
      <c r="S200" s="27">
        <f>R200+Q200</f>
        <v>0</v>
      </c>
      <c r="T200" s="27">
        <f>U200</f>
        <v>0</v>
      </c>
      <c r="U200" s="27"/>
      <c r="V200" s="27">
        <f>T200-U200</f>
        <v>0</v>
      </c>
      <c r="W200" s="27"/>
      <c r="X200" s="27">
        <f>U200+W200</f>
        <v>0</v>
      </c>
      <c r="Y200" s="27">
        <f>T200-X200</f>
        <v>0</v>
      </c>
      <c r="Z200" s="55" t="s">
        <v>352</v>
      </c>
      <c r="AA200" s="55">
        <v>614</v>
      </c>
    </row>
    <row r="201" spans="1:29" ht="20.100000000000001" customHeight="1" x14ac:dyDescent="0.2">
      <c r="F201" s="216" t="s">
        <v>45</v>
      </c>
      <c r="G201" s="216"/>
      <c r="H201" s="216"/>
      <c r="I201" s="52">
        <f>SUMIFS(I202:I368,$A202:$A368,"K212401",$B202:$B368,"611")</f>
        <v>100000</v>
      </c>
      <c r="J201" s="52">
        <f t="shared" ref="J201:V201" si="114">SUMIFS(J202:J368,$A202:$A368,"K212401",$B202:$B368,"611")</f>
        <v>0</v>
      </c>
      <c r="K201" s="52">
        <f t="shared" si="114"/>
        <v>100000</v>
      </c>
      <c r="L201" s="52">
        <f t="shared" si="114"/>
        <v>0</v>
      </c>
      <c r="M201" s="52">
        <f t="shared" si="114"/>
        <v>0</v>
      </c>
      <c r="N201" s="52">
        <f t="shared" si="114"/>
        <v>0</v>
      </c>
      <c r="O201" s="52">
        <f t="shared" si="114"/>
        <v>100000</v>
      </c>
      <c r="P201" s="53">
        <f t="shared" si="114"/>
        <v>0</v>
      </c>
      <c r="Q201" s="52">
        <f t="shared" si="114"/>
        <v>0</v>
      </c>
      <c r="R201" s="52">
        <f t="shared" si="114"/>
        <v>0</v>
      </c>
      <c r="S201" s="52">
        <f t="shared" si="114"/>
        <v>0</v>
      </c>
      <c r="T201" s="52">
        <f>SUMIFS(T202:T368,$A202:$A368,"K212401",$B202:$B368,"611")</f>
        <v>94041.19</v>
      </c>
      <c r="U201" s="52">
        <f t="shared" si="114"/>
        <v>94041.19</v>
      </c>
      <c r="V201" s="52">
        <f t="shared" si="114"/>
        <v>0</v>
      </c>
      <c r="W201" s="52"/>
      <c r="X201" s="52">
        <f>SUMIFS(X202:X368,$A202:$A368,"K212401",$B202:$B368,"611")</f>
        <v>94041.19</v>
      </c>
      <c r="Y201" s="52">
        <f>SUMIFS(Y202:Y368,$A202:$A368,"K212401",$B202:$B368,"611")</f>
        <v>0</v>
      </c>
      <c r="Z201" s="52">
        <f>SUMIFS(Z202:Z368,$A202:$A368,"K212401",$B202:$B368,"611")</f>
        <v>149</v>
      </c>
      <c r="AA201" s="52">
        <f>SUMIFS(AA202:AA368,$A202:$A368,"K212401",$B202:$B368,"611")</f>
        <v>93892.19</v>
      </c>
    </row>
    <row r="202" spans="1:29" outlineLevel="1" x14ac:dyDescent="0.2">
      <c r="A202" s="26" t="s">
        <v>331</v>
      </c>
      <c r="B202" s="30">
        <v>611</v>
      </c>
      <c r="C202" s="30" t="str">
        <f>LEFT(F202,1)</f>
        <v>4</v>
      </c>
      <c r="D202" s="30" t="str">
        <f>LEFT(F202,2)</f>
        <v>42</v>
      </c>
      <c r="E202" s="26" t="str">
        <f t="shared" si="103"/>
        <v>422</v>
      </c>
      <c r="F202" s="4" t="s">
        <v>27</v>
      </c>
      <c r="G202" s="4" t="s">
        <v>46</v>
      </c>
      <c r="H202" s="4" t="s">
        <v>29</v>
      </c>
      <c r="I202" s="5">
        <v>0</v>
      </c>
      <c r="J202" s="27">
        <f>I202-K202</f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6">
        <v>0</v>
      </c>
      <c r="Q202" s="27">
        <f>J202</f>
        <v>0</v>
      </c>
      <c r="R202" s="27"/>
      <c r="S202" s="27">
        <f>R202+Q202</f>
        <v>0</v>
      </c>
      <c r="T202" s="27">
        <f>U202</f>
        <v>0</v>
      </c>
      <c r="U202" s="27">
        <f>Z202+AA202</f>
        <v>0</v>
      </c>
      <c r="V202" s="27">
        <f>T202-U202</f>
        <v>0</v>
      </c>
      <c r="W202" s="27"/>
      <c r="X202" s="27">
        <f>U202+W202</f>
        <v>0</v>
      </c>
      <c r="Y202" s="27">
        <f>T202-X202</f>
        <v>0</v>
      </c>
      <c r="Z202" s="27"/>
      <c r="AA202" s="27"/>
    </row>
    <row r="203" spans="1:29" outlineLevel="1" x14ac:dyDescent="0.2">
      <c r="A203" s="26" t="s">
        <v>331</v>
      </c>
      <c r="B203" s="30">
        <v>611</v>
      </c>
      <c r="C203" s="30" t="str">
        <f>LEFT(F203,1)</f>
        <v>4</v>
      </c>
      <c r="D203" s="30" t="str">
        <f>LEFT(F203,2)</f>
        <v>42</v>
      </c>
      <c r="E203" s="26" t="str">
        <f t="shared" si="103"/>
        <v>424</v>
      </c>
      <c r="F203" s="4" t="s">
        <v>17</v>
      </c>
      <c r="G203" s="4" t="s">
        <v>47</v>
      </c>
      <c r="H203" s="4" t="s">
        <v>19</v>
      </c>
      <c r="I203" s="5">
        <v>100000</v>
      </c>
      <c r="J203" s="27">
        <f>I203-K203</f>
        <v>0</v>
      </c>
      <c r="K203" s="5">
        <v>100000</v>
      </c>
      <c r="L203" s="5">
        <v>0</v>
      </c>
      <c r="M203" s="5">
        <v>0</v>
      </c>
      <c r="N203" s="5">
        <v>0</v>
      </c>
      <c r="O203" s="5">
        <v>100000</v>
      </c>
      <c r="P203" s="6">
        <v>0</v>
      </c>
      <c r="Q203" s="27">
        <f>J203</f>
        <v>0</v>
      </c>
      <c r="R203" s="27"/>
      <c r="S203" s="27">
        <f>R203+Q203</f>
        <v>0</v>
      </c>
      <c r="T203" s="27">
        <f>U203</f>
        <v>94041.19</v>
      </c>
      <c r="U203" s="27">
        <f>Z203+AA203</f>
        <v>94041.19</v>
      </c>
      <c r="V203" s="27">
        <f>T203-U203</f>
        <v>0</v>
      </c>
      <c r="W203" s="27"/>
      <c r="X203" s="27">
        <f>U203+W203</f>
        <v>94041.19</v>
      </c>
      <c r="Y203" s="27">
        <f>T203-X203</f>
        <v>0</v>
      </c>
      <c r="Z203" s="27">
        <v>149</v>
      </c>
      <c r="AA203" s="27">
        <v>93892.19</v>
      </c>
    </row>
    <row r="204" spans="1:29" ht="20.100000000000001" customHeight="1" x14ac:dyDescent="0.2">
      <c r="F204" s="216" t="s">
        <v>48</v>
      </c>
      <c r="G204" s="216"/>
      <c r="H204" s="216"/>
      <c r="I204" s="52">
        <f>SUMIFS(I205:I371,$A205:$A371,"K212401",$B205:$B371,"711")</f>
        <v>1300</v>
      </c>
      <c r="J204" s="52">
        <f t="shared" ref="J204:V204" si="115">SUMIFS(J205:J371,$A205:$A371,"K212401",$B205:$B371,"711")</f>
        <v>0</v>
      </c>
      <c r="K204" s="52">
        <f t="shared" si="115"/>
        <v>1300</v>
      </c>
      <c r="L204" s="52">
        <f t="shared" si="115"/>
        <v>0</v>
      </c>
      <c r="M204" s="52">
        <f t="shared" si="115"/>
        <v>0</v>
      </c>
      <c r="N204" s="52">
        <f t="shared" si="115"/>
        <v>0</v>
      </c>
      <c r="O204" s="52">
        <f t="shared" si="115"/>
        <v>1300</v>
      </c>
      <c r="P204" s="53">
        <f t="shared" si="115"/>
        <v>0</v>
      </c>
      <c r="Q204" s="52">
        <f t="shared" si="115"/>
        <v>0</v>
      </c>
      <c r="R204" s="52">
        <f t="shared" si="115"/>
        <v>0</v>
      </c>
      <c r="S204" s="52">
        <f t="shared" si="115"/>
        <v>0</v>
      </c>
      <c r="T204" s="52">
        <f>SUMIFS(T205:T371,$A205:$A371,"K212401",$B205:$B371,"711")</f>
        <v>0</v>
      </c>
      <c r="U204" s="52">
        <f t="shared" si="115"/>
        <v>0</v>
      </c>
      <c r="V204" s="52">
        <f t="shared" si="115"/>
        <v>0</v>
      </c>
      <c r="W204" s="52"/>
      <c r="X204" s="52">
        <f>SUMIFS(X205:X371,$A205:$A371,"K212401",$B205:$B371,"711")</f>
        <v>0</v>
      </c>
      <c r="Y204" s="52">
        <f>SUMIFS(Y205:Y371,$A205:$A371,"K212401",$B205:$B371,"711")</f>
        <v>0</v>
      </c>
    </row>
    <row r="205" spans="1:29" outlineLevel="1" x14ac:dyDescent="0.2">
      <c r="A205" s="26" t="s">
        <v>331</v>
      </c>
      <c r="B205" s="30">
        <v>711</v>
      </c>
      <c r="C205" s="30" t="str">
        <f>LEFT(F205,1)</f>
        <v>4</v>
      </c>
      <c r="D205" s="30" t="str">
        <f>LEFT(F205,2)</f>
        <v>42</v>
      </c>
      <c r="E205" s="26" t="str">
        <f t="shared" si="103"/>
        <v>422</v>
      </c>
      <c r="F205" s="4" t="s">
        <v>27</v>
      </c>
      <c r="G205" s="4" t="s">
        <v>49</v>
      </c>
      <c r="H205" s="4" t="s">
        <v>29</v>
      </c>
      <c r="I205" s="5">
        <v>1300</v>
      </c>
      <c r="J205" s="27">
        <f>I205-K205</f>
        <v>0</v>
      </c>
      <c r="K205" s="5">
        <v>1300</v>
      </c>
      <c r="L205" s="5">
        <v>0</v>
      </c>
      <c r="M205" s="5">
        <v>0</v>
      </c>
      <c r="N205" s="5">
        <v>0</v>
      </c>
      <c r="O205" s="5">
        <v>1300</v>
      </c>
      <c r="P205" s="6">
        <v>0</v>
      </c>
      <c r="Q205" s="27">
        <f>J205</f>
        <v>0</v>
      </c>
      <c r="R205" s="27"/>
      <c r="S205" s="27">
        <f>R205+Q205</f>
        <v>0</v>
      </c>
      <c r="T205" s="27">
        <f>U205</f>
        <v>0</v>
      </c>
      <c r="U205" s="27"/>
      <c r="V205" s="27">
        <f>T205-U205</f>
        <v>0</v>
      </c>
      <c r="W205" s="27"/>
      <c r="X205" s="27">
        <f>U205+W205</f>
        <v>0</v>
      </c>
      <c r="Y205" s="27">
        <f>T205-X205</f>
        <v>0</v>
      </c>
    </row>
    <row r="206" spans="1:29" ht="35.1" customHeight="1" x14ac:dyDescent="0.2">
      <c r="F206" s="222" t="s">
        <v>344</v>
      </c>
      <c r="G206" s="222"/>
      <c r="H206" s="222"/>
      <c r="I206" s="39"/>
      <c r="J206" s="39"/>
      <c r="K206" s="39"/>
      <c r="L206" s="39"/>
      <c r="M206" s="39"/>
      <c r="N206" s="39"/>
      <c r="O206" s="39"/>
      <c r="P206" s="40"/>
      <c r="Q206" s="39"/>
      <c r="R206" s="39"/>
      <c r="S206" s="39"/>
      <c r="T206" s="39"/>
      <c r="U206" s="39"/>
      <c r="V206" s="39"/>
      <c r="W206" s="39"/>
      <c r="X206" s="39"/>
      <c r="Y206" s="39"/>
    </row>
  </sheetData>
  <autoFilter ref="F13:W206"/>
  <mergeCells count="32">
    <mergeCell ref="F197:H197"/>
    <mergeCell ref="F201:H201"/>
    <mergeCell ref="F204:H204"/>
    <mergeCell ref="F206:H206"/>
    <mergeCell ref="F2:I2"/>
    <mergeCell ref="F3:H3"/>
    <mergeCell ref="F40:H40"/>
    <mergeCell ref="F67:H67"/>
    <mergeCell ref="F96:H96"/>
    <mergeCell ref="F190:H190"/>
    <mergeCell ref="F194:H194"/>
    <mergeCell ref="F125:H125"/>
    <mergeCell ref="F138:H138"/>
    <mergeCell ref="F110:H110"/>
    <mergeCell ref="F172:H172"/>
    <mergeCell ref="F180:H180"/>
    <mergeCell ref="F171:H171"/>
    <mergeCell ref="F156:H156"/>
    <mergeCell ref="F165:H165"/>
    <mergeCell ref="F168:H168"/>
    <mergeCell ref="F167:H167"/>
    <mergeCell ref="F164:H164"/>
    <mergeCell ref="F113:H113"/>
    <mergeCell ref="F1:I1"/>
    <mergeCell ref="F10:H10"/>
    <mergeCell ref="F12:H12"/>
    <mergeCell ref="F9:H9"/>
    <mergeCell ref="F7:H8"/>
    <mergeCell ref="F102:H102"/>
    <mergeCell ref="F11:H11"/>
    <mergeCell ref="F38:H38"/>
    <mergeCell ref="F112:H112"/>
  </mergeCells>
  <pageMargins left="0" right="0" top="0" bottom="0.39375000000000004" header="0" footer="0"/>
  <pageSetup paperSize="9" orientation="landscape" horizontalDpi="0" verticalDpi="0"/>
  <headerFooter alignWithMargins="0">
    <oddFooter xml:space="preserve">&amp;L&amp;"Arial"&amp;8 Lista: LCW147TREW &amp;C&amp;"Arial"&amp;8 Stranica 
&amp;B&amp;P&amp;B &amp;R&amp;"Arial"&amp;8 * OBRADA LC *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workbookViewId="0">
      <selection activeCell="D18" sqref="D18"/>
    </sheetView>
  </sheetViews>
  <sheetFormatPr defaultColWidth="9.140625" defaultRowHeight="20.100000000000001" customHeight="1" x14ac:dyDescent="0.2"/>
  <cols>
    <col min="1" max="1" width="9.140625" style="25"/>
    <col min="2" max="6" width="15.7109375" style="25" customWidth="1"/>
    <col min="7" max="16384" width="9.140625" style="25"/>
  </cols>
  <sheetData>
    <row r="2" spans="1:6" ht="20.100000000000001" customHeight="1" x14ac:dyDescent="0.2">
      <c r="F2" s="31">
        <f>F3-F4</f>
        <v>0</v>
      </c>
    </row>
    <row r="3" spans="1:6" ht="20.100000000000001" customHeight="1" x14ac:dyDescent="0.2">
      <c r="B3" s="31">
        <f>B4-B5</f>
        <v>0</v>
      </c>
      <c r="C3" s="31"/>
      <c r="D3" s="31"/>
      <c r="E3" s="31"/>
      <c r="F3" s="31">
        <f>21015642.21+2252929.92</f>
        <v>23268572.130000003</v>
      </c>
    </row>
    <row r="4" spans="1:6" ht="35.1" customHeight="1" x14ac:dyDescent="0.2">
      <c r="B4" s="31">
        <v>20487727.300000001</v>
      </c>
      <c r="C4" s="31">
        <v>2252929.92</v>
      </c>
      <c r="D4" s="31">
        <v>342414.91</v>
      </c>
      <c r="E4" s="31">
        <v>185500</v>
      </c>
      <c r="F4" s="31">
        <f>SUM(B4:E4)</f>
        <v>23268572.129999999</v>
      </c>
    </row>
    <row r="5" spans="1:6" ht="35.1" customHeight="1" x14ac:dyDescent="0.2">
      <c r="B5" s="31">
        <f>SUBTOTAL(9,B7:B37)</f>
        <v>20487727.300000004</v>
      </c>
      <c r="C5" s="31"/>
      <c r="D5" s="31"/>
      <c r="E5" s="31"/>
      <c r="F5" s="31"/>
    </row>
    <row r="6" spans="1:6" ht="39.950000000000003" customHeight="1" x14ac:dyDescent="0.2">
      <c r="A6" s="36" t="s">
        <v>345</v>
      </c>
      <c r="B6" s="37" t="s">
        <v>346</v>
      </c>
      <c r="C6" s="37"/>
      <c r="D6" s="37"/>
      <c r="E6" s="37"/>
      <c r="F6" s="37"/>
    </row>
    <row r="7" spans="1:6" ht="20.100000000000001" customHeight="1" x14ac:dyDescent="0.2">
      <c r="A7" s="25">
        <v>11</v>
      </c>
      <c r="B7" s="31">
        <v>178397.39</v>
      </c>
      <c r="C7" s="31"/>
      <c r="D7" s="31"/>
      <c r="E7" s="31"/>
      <c r="F7" s="31"/>
    </row>
    <row r="8" spans="1:6" ht="20.100000000000001" customHeight="1" x14ac:dyDescent="0.2">
      <c r="A8" s="25">
        <v>12</v>
      </c>
      <c r="B8" s="31">
        <v>18790381.359999999</v>
      </c>
      <c r="C8" s="31"/>
      <c r="D8" s="31"/>
      <c r="E8" s="31"/>
      <c r="F8" s="31"/>
    </row>
    <row r="9" spans="1:6" ht="20.100000000000001" customHeight="1" x14ac:dyDescent="0.2">
      <c r="A9" s="25">
        <v>31</v>
      </c>
      <c r="B9" s="31">
        <v>826259.48</v>
      </c>
      <c r="C9" s="31"/>
      <c r="D9" s="31"/>
      <c r="E9" s="31"/>
      <c r="F9" s="31"/>
    </row>
    <row r="10" spans="1:6" ht="20.100000000000001" customHeight="1" x14ac:dyDescent="0.2">
      <c r="A10" s="25">
        <v>43</v>
      </c>
      <c r="B10" s="31">
        <v>8389.26</v>
      </c>
      <c r="C10" s="31"/>
      <c r="D10" s="31"/>
      <c r="E10" s="31"/>
      <c r="F10" s="31"/>
    </row>
    <row r="11" spans="1:6" ht="20.100000000000001" customHeight="1" x14ac:dyDescent="0.2">
      <c r="A11" s="25">
        <v>511</v>
      </c>
      <c r="B11" s="31">
        <v>643151.68000000005</v>
      </c>
      <c r="C11" s="31"/>
      <c r="D11" s="31"/>
      <c r="E11" s="31"/>
      <c r="F11" s="31"/>
    </row>
    <row r="12" spans="1:6" ht="20.100000000000001" customHeight="1" x14ac:dyDescent="0.2">
      <c r="A12" s="25">
        <v>512</v>
      </c>
      <c r="B12" s="31">
        <v>13639.55</v>
      </c>
      <c r="C12" s="31"/>
      <c r="D12" s="31"/>
      <c r="E12" s="31"/>
      <c r="F12" s="31"/>
    </row>
    <row r="13" spans="1:6" ht="20.100000000000001" customHeight="1" x14ac:dyDescent="0.2">
      <c r="A13" s="25">
        <v>521</v>
      </c>
      <c r="B13" s="31">
        <v>308.08999999999997</v>
      </c>
      <c r="C13" s="31"/>
      <c r="D13" s="31"/>
      <c r="E13" s="31"/>
      <c r="F13" s="31"/>
    </row>
    <row r="14" spans="1:6" ht="20.100000000000001" customHeight="1" x14ac:dyDescent="0.2">
      <c r="A14" s="25">
        <v>56</v>
      </c>
      <c r="B14" s="31">
        <v>1106.71</v>
      </c>
      <c r="C14" s="31"/>
      <c r="D14" s="31"/>
      <c r="E14" s="31"/>
      <c r="F14" s="31"/>
    </row>
    <row r="15" spans="1:6" ht="20.100000000000001" customHeight="1" x14ac:dyDescent="0.2">
      <c r="A15" s="25">
        <v>561</v>
      </c>
      <c r="B15" s="31">
        <v>26093.78</v>
      </c>
      <c r="C15" s="31"/>
      <c r="D15" s="31"/>
      <c r="E15" s="31"/>
      <c r="F15" s="31"/>
    </row>
    <row r="16" spans="1:6" ht="20.100000000000001" customHeight="1" x14ac:dyDescent="0.2">
      <c r="B16" s="31"/>
      <c r="C16" s="31"/>
      <c r="D16" s="31"/>
      <c r="E16" s="31"/>
      <c r="F16" s="31"/>
    </row>
    <row r="17" spans="1:6" ht="20.100000000000001" customHeight="1" x14ac:dyDescent="0.2">
      <c r="A17" s="25">
        <v>671</v>
      </c>
      <c r="B17" s="31"/>
      <c r="C17" s="31">
        <v>20104298.509999998</v>
      </c>
      <c r="D17" s="31"/>
      <c r="E17" s="31"/>
      <c r="F17" s="31"/>
    </row>
    <row r="18" spans="1:6" ht="20.100000000000001" customHeight="1" x14ac:dyDescent="0.2">
      <c r="A18" s="25">
        <v>112</v>
      </c>
      <c r="B18" s="31"/>
      <c r="C18" s="31">
        <f>Ostvarenje_2025_Arh_Prava!T12+Ostvarenje_2025_Arh_Prava!T113+Ostvarenje_2025_Arh_Prava!T168+Ostvarenje_2025_Arh_Prava!T172</f>
        <v>20465016.359999999</v>
      </c>
      <c r="D18" s="37" t="s">
        <v>357</v>
      </c>
      <c r="E18" s="31"/>
      <c r="F18" s="31"/>
    </row>
    <row r="19" spans="1:6" ht="20.100000000000001" customHeight="1" x14ac:dyDescent="0.2">
      <c r="B19" s="31"/>
      <c r="C19" s="31">
        <f>C18-C17</f>
        <v>360717.85000000149</v>
      </c>
      <c r="D19" s="37" t="s">
        <v>358</v>
      </c>
      <c r="E19" s="31"/>
      <c r="F19" s="31"/>
    </row>
    <row r="20" spans="1:6" ht="20.100000000000001" customHeight="1" x14ac:dyDescent="0.2">
      <c r="B20" s="31"/>
      <c r="C20" s="31">
        <v>335515.99</v>
      </c>
      <c r="D20" s="37" t="s">
        <v>359</v>
      </c>
      <c r="E20" s="31"/>
      <c r="F20" s="31"/>
    </row>
    <row r="21" spans="1:6" ht="20.100000000000001" customHeight="1" x14ac:dyDescent="0.2">
      <c r="B21" s="31"/>
      <c r="C21" s="31">
        <f>C19-C20</f>
        <v>25201.860000001499</v>
      </c>
      <c r="D21" s="37" t="s">
        <v>360</v>
      </c>
      <c r="E21" s="31"/>
      <c r="F21" s="31"/>
    </row>
    <row r="22" spans="1:6" ht="20.100000000000001" customHeight="1" x14ac:dyDescent="0.2">
      <c r="B22" s="31"/>
      <c r="C22" s="31"/>
      <c r="D22" s="31"/>
      <c r="E22" s="31"/>
      <c r="F22" s="31"/>
    </row>
    <row r="23" spans="1:6" ht="20.100000000000001" customHeight="1" x14ac:dyDescent="0.2">
      <c r="B23" s="31"/>
      <c r="C23" s="31"/>
      <c r="D23" s="31"/>
      <c r="E23" s="31"/>
      <c r="F23" s="31"/>
    </row>
    <row r="24" spans="1:6" ht="20.100000000000001" customHeight="1" x14ac:dyDescent="0.2">
      <c r="B24" s="31"/>
      <c r="C24" s="31"/>
      <c r="D24" s="31"/>
      <c r="E24" s="31"/>
      <c r="F24" s="31"/>
    </row>
    <row r="25" spans="1:6" ht="20.100000000000001" customHeight="1" x14ac:dyDescent="0.2">
      <c r="B25" s="31"/>
      <c r="C25" s="31"/>
      <c r="D25" s="31"/>
      <c r="E25" s="31"/>
      <c r="F25" s="31"/>
    </row>
    <row r="26" spans="1:6" ht="20.100000000000001" customHeight="1" x14ac:dyDescent="0.2">
      <c r="B26" s="31"/>
      <c r="C26" s="31"/>
      <c r="D26" s="31"/>
      <c r="E26" s="31"/>
      <c r="F26" s="31"/>
    </row>
    <row r="27" spans="1:6" ht="20.100000000000001" customHeight="1" x14ac:dyDescent="0.2">
      <c r="B27" s="31"/>
      <c r="C27" s="31"/>
      <c r="D27" s="31"/>
      <c r="E27" s="31"/>
      <c r="F27" s="31"/>
    </row>
    <row r="28" spans="1:6" ht="20.100000000000001" customHeight="1" x14ac:dyDescent="0.2">
      <c r="B28" s="31"/>
      <c r="C28" s="31"/>
      <c r="D28" s="31"/>
      <c r="E28" s="31"/>
      <c r="F28" s="31"/>
    </row>
    <row r="29" spans="1:6" ht="20.100000000000001" customHeight="1" x14ac:dyDescent="0.2">
      <c r="B29" s="31"/>
      <c r="C29" s="31"/>
      <c r="D29" s="31"/>
      <c r="E29" s="31"/>
      <c r="F29" s="31"/>
    </row>
    <row r="30" spans="1:6" ht="20.100000000000001" customHeight="1" x14ac:dyDescent="0.2">
      <c r="B30" s="31"/>
      <c r="C30" s="31"/>
      <c r="D30" s="31"/>
      <c r="E30" s="31"/>
      <c r="F30" s="31"/>
    </row>
    <row r="31" spans="1:6" ht="20.100000000000001" customHeight="1" x14ac:dyDescent="0.2">
      <c r="B31" s="31"/>
      <c r="C31" s="31"/>
      <c r="D31" s="31"/>
      <c r="E31" s="31"/>
      <c r="F31" s="31"/>
    </row>
    <row r="32" spans="1:6" ht="20.100000000000001" customHeight="1" x14ac:dyDescent="0.2">
      <c r="B32" s="31"/>
      <c r="C32" s="31"/>
      <c r="D32" s="31"/>
      <c r="E32" s="31"/>
      <c r="F32" s="3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5"/>
  <sheetViews>
    <sheetView showGridLines="0" topLeftCell="F1" zoomScale="110" zoomScaleNormal="110" workbookViewId="0">
      <pane ySplit="5" topLeftCell="A33" activePane="bottomLeft" state="frozen"/>
      <selection activeCell="F1" sqref="F1"/>
      <selection pane="bottomLeft" activeCell="J40" sqref="J40"/>
    </sheetView>
  </sheetViews>
  <sheetFormatPr defaultColWidth="8.7109375" defaultRowHeight="12.75" outlineLevelRow="1" outlineLevelCol="1" x14ac:dyDescent="0.2"/>
  <cols>
    <col min="1" max="1" width="9.28515625" style="26" hidden="1" customWidth="1" outlineLevel="1"/>
    <col min="2" max="2" width="3.7109375" style="30" hidden="1" customWidth="1" outlineLevel="1"/>
    <col min="3" max="3" width="8.7109375" style="30" hidden="1" customWidth="1" outlineLevel="1"/>
    <col min="4" max="4" width="10.28515625" style="30" hidden="1" customWidth="1" outlineLevel="1"/>
    <col min="5" max="5" width="12.5703125" style="26" hidden="1" customWidth="1" outlineLevel="1"/>
    <col min="6" max="6" width="10.5703125" style="25" customWidth="1" collapsed="1"/>
    <col min="7" max="7" width="13.5703125" style="25" hidden="1" customWidth="1" outlineLevel="1"/>
    <col min="8" max="8" width="35.5703125" style="25" customWidth="1" collapsed="1"/>
    <col min="9" max="9" width="13.5703125" style="25" customWidth="1"/>
    <col min="10" max="10" width="14.140625" style="25" customWidth="1" outlineLevel="1"/>
    <col min="11" max="14" width="13.5703125" style="25" customWidth="1" outlineLevel="1"/>
    <col min="15" max="16" width="13.5703125" style="25" customWidth="1" outlineLevel="1" collapsed="1"/>
    <col min="17" max="17" width="13.5703125" style="25" customWidth="1"/>
    <col min="18" max="18" width="13.7109375" style="25" customWidth="1"/>
    <col min="19" max="22" width="13.5703125" style="25" customWidth="1"/>
    <col min="23" max="24" width="9.42578125" style="25" customWidth="1" outlineLevel="1"/>
    <col min="25" max="25" width="8.85546875" style="25" customWidth="1" outlineLevel="1"/>
    <col min="26" max="26" width="8.7109375" style="25" customWidth="1" outlineLevel="1"/>
    <col min="27" max="16384" width="8.7109375" style="25"/>
  </cols>
  <sheetData>
    <row r="1" spans="1:22" ht="20.100000000000001" customHeight="1" x14ac:dyDescent="0.2">
      <c r="F1" s="245" t="s">
        <v>0</v>
      </c>
      <c r="G1" s="245"/>
      <c r="H1" s="245"/>
      <c r="I1" s="245"/>
    </row>
    <row r="2" spans="1:22" ht="20.100000000000001" customHeight="1" x14ac:dyDescent="0.2">
      <c r="F2" s="245" t="s">
        <v>1</v>
      </c>
      <c r="G2" s="245"/>
      <c r="H2" s="245"/>
      <c r="I2" s="245"/>
    </row>
    <row r="3" spans="1:22" ht="20.100000000000001" customHeight="1" x14ac:dyDescent="0.2">
      <c r="F3" s="245" t="s">
        <v>2</v>
      </c>
      <c r="G3" s="245"/>
      <c r="H3" s="245"/>
      <c r="I3" s="29"/>
      <c r="J3" s="32"/>
    </row>
    <row r="4" spans="1:22" ht="20.100000000000001" customHeight="1" thickBot="1" x14ac:dyDescent="0.25">
      <c r="T4" s="32"/>
    </row>
    <row r="5" spans="1:22" ht="39.950000000000003" customHeight="1" thickTop="1" thickBot="1" x14ac:dyDescent="0.25">
      <c r="F5" s="49" t="s">
        <v>3</v>
      </c>
      <c r="G5" s="49" t="s">
        <v>4</v>
      </c>
      <c r="H5" s="49" t="s">
        <v>5</v>
      </c>
      <c r="I5" s="50" t="s">
        <v>6</v>
      </c>
      <c r="J5" s="50" t="s">
        <v>7</v>
      </c>
      <c r="K5" s="50" t="s">
        <v>8</v>
      </c>
      <c r="L5" s="50" t="s">
        <v>9</v>
      </c>
      <c r="M5" s="50" t="s">
        <v>10</v>
      </c>
      <c r="N5" s="50" t="s">
        <v>11</v>
      </c>
      <c r="O5" s="50" t="s">
        <v>12</v>
      </c>
      <c r="P5" s="50" t="s">
        <v>13</v>
      </c>
      <c r="Q5" s="51" t="s">
        <v>332</v>
      </c>
      <c r="R5" s="51" t="s">
        <v>333</v>
      </c>
      <c r="S5" s="51" t="s">
        <v>334</v>
      </c>
      <c r="T5" s="51" t="s">
        <v>335</v>
      </c>
      <c r="U5" s="51" t="s">
        <v>336</v>
      </c>
    </row>
    <row r="6" spans="1:22" ht="24.95" customHeight="1" thickTop="1" thickBot="1" x14ac:dyDescent="0.25">
      <c r="F6" s="41">
        <v>1</v>
      </c>
      <c r="G6" s="41"/>
      <c r="H6" s="41">
        <v>2</v>
      </c>
      <c r="I6" s="41">
        <v>2</v>
      </c>
      <c r="J6" s="41">
        <v>3</v>
      </c>
      <c r="K6" s="42" t="s">
        <v>337</v>
      </c>
      <c r="L6" s="41" t="s">
        <v>338</v>
      </c>
      <c r="M6" s="41" t="s">
        <v>339</v>
      </c>
      <c r="N6" s="41" t="s">
        <v>340</v>
      </c>
      <c r="O6" s="41" t="s">
        <v>341</v>
      </c>
      <c r="P6" s="41" t="s">
        <v>342</v>
      </c>
      <c r="Q6" s="41">
        <v>3</v>
      </c>
      <c r="R6" s="41" t="s">
        <v>343</v>
      </c>
      <c r="S6" s="41">
        <v>3</v>
      </c>
      <c r="T6" s="41">
        <v>4</v>
      </c>
      <c r="U6" s="41">
        <v>5</v>
      </c>
    </row>
    <row r="7" spans="1:22" ht="20.100000000000001" customHeight="1" thickBot="1" x14ac:dyDescent="0.25">
      <c r="F7" s="220" t="s">
        <v>52</v>
      </c>
      <c r="G7" s="220"/>
      <c r="H7" s="220"/>
      <c r="I7" s="43">
        <f>I8</f>
        <v>23471400</v>
      </c>
      <c r="J7" s="43">
        <f t="shared" ref="J7:U9" si="0">J8</f>
        <v>21890400.289999999</v>
      </c>
      <c r="K7" s="43">
        <f t="shared" si="0"/>
        <v>-836363.52000000025</v>
      </c>
      <c r="L7" s="43">
        <f t="shared" si="0"/>
        <v>0</v>
      </c>
      <c r="M7" s="43">
        <f t="shared" si="0"/>
        <v>20984663.520000003</v>
      </c>
      <c r="N7" s="43">
        <f t="shared" si="0"/>
        <v>0</v>
      </c>
      <c r="O7" s="43">
        <f t="shared" si="0"/>
        <v>-836363.52000000025</v>
      </c>
      <c r="P7" s="44">
        <v>0.98099999999999998</v>
      </c>
      <c r="Q7" s="43">
        <f t="shared" si="0"/>
        <v>24471868.189999998</v>
      </c>
      <c r="R7" s="43">
        <f t="shared" si="0"/>
        <v>-1258340.0699999998</v>
      </c>
      <c r="S7" s="43">
        <f t="shared" si="0"/>
        <v>23213528.120000001</v>
      </c>
      <c r="T7" s="43">
        <f t="shared" si="0"/>
        <v>23268572.130000003</v>
      </c>
      <c r="U7" s="43">
        <f t="shared" si="0"/>
        <v>-55044.00999999926</v>
      </c>
      <c r="V7" s="32"/>
    </row>
    <row r="8" spans="1:22" ht="20.100000000000001" customHeight="1" thickBot="1" x14ac:dyDescent="0.25">
      <c r="F8" s="220"/>
      <c r="G8" s="220"/>
      <c r="H8" s="220"/>
      <c r="I8" s="43">
        <f>I9</f>
        <v>23471400</v>
      </c>
      <c r="J8" s="43">
        <f t="shared" si="0"/>
        <v>21890400.289999999</v>
      </c>
      <c r="K8" s="43">
        <f t="shared" si="0"/>
        <v>-836363.52000000025</v>
      </c>
      <c r="L8" s="43">
        <f t="shared" si="0"/>
        <v>0</v>
      </c>
      <c r="M8" s="43">
        <f t="shared" si="0"/>
        <v>20984663.520000003</v>
      </c>
      <c r="N8" s="43">
        <f t="shared" si="0"/>
        <v>0</v>
      </c>
      <c r="O8" s="43">
        <f t="shared" si="0"/>
        <v>-836363.52000000025</v>
      </c>
      <c r="P8" s="44">
        <v>0.98099999999999998</v>
      </c>
      <c r="Q8" s="43">
        <f t="shared" si="0"/>
        <v>24471868.189999998</v>
      </c>
      <c r="R8" s="43">
        <f t="shared" si="0"/>
        <v>-1258340.0699999998</v>
      </c>
      <c r="S8" s="43">
        <f t="shared" si="0"/>
        <v>23213528.120000001</v>
      </c>
      <c r="T8" s="43">
        <f t="shared" si="0"/>
        <v>23268572.130000003</v>
      </c>
      <c r="U8" s="43">
        <f t="shared" si="0"/>
        <v>-55044.00999999926</v>
      </c>
      <c r="V8" s="32"/>
    </row>
    <row r="9" spans="1:22" ht="35.1" customHeight="1" thickBot="1" x14ac:dyDescent="0.25">
      <c r="F9" s="219" t="s">
        <v>54</v>
      </c>
      <c r="G9" s="219"/>
      <c r="H9" s="219"/>
      <c r="I9" s="45">
        <f>I10+I111+I163+I166+I170</f>
        <v>23471400</v>
      </c>
      <c r="J9" s="45">
        <f t="shared" si="0"/>
        <v>21890400.289999999</v>
      </c>
      <c r="K9" s="45">
        <f t="shared" si="0"/>
        <v>-836363.52000000025</v>
      </c>
      <c r="L9" s="45">
        <f t="shared" si="0"/>
        <v>0</v>
      </c>
      <c r="M9" s="45">
        <f t="shared" si="0"/>
        <v>20984663.520000003</v>
      </c>
      <c r="N9" s="45">
        <f t="shared" si="0"/>
        <v>0</v>
      </c>
      <c r="O9" s="45">
        <f t="shared" si="0"/>
        <v>-836363.52000000025</v>
      </c>
      <c r="P9" s="46">
        <v>0.98099999999999998</v>
      </c>
      <c r="Q9" s="45">
        <f>Q10+Q111+Q163+Q166+Q170</f>
        <v>24471868.189999998</v>
      </c>
      <c r="R9" s="45">
        <f>R10+R111+R163+R166+R170</f>
        <v>-1258340.0699999998</v>
      </c>
      <c r="S9" s="45">
        <f>S10+S111+S163+S166+S170</f>
        <v>23213528.120000001</v>
      </c>
      <c r="T9" s="45">
        <f>T10+T111+T163+T166+T170</f>
        <v>23268572.130000003</v>
      </c>
      <c r="U9" s="45">
        <f>U10+U111+U163+U166+U170</f>
        <v>-55044.00999999926</v>
      </c>
      <c r="V9" s="32"/>
    </row>
    <row r="10" spans="1:22" ht="35.1" customHeight="1" x14ac:dyDescent="0.2">
      <c r="F10" s="218" t="s">
        <v>55</v>
      </c>
      <c r="G10" s="218"/>
      <c r="H10" s="218"/>
      <c r="I10" s="47">
        <f>I12+I37+I39+I66+I95+I101+I109</f>
        <v>20148300</v>
      </c>
      <c r="J10" s="47">
        <f t="shared" ref="J10:Q10" si="1">J12+J37+J39+J66+J95+J101+J109</f>
        <v>21890400.289999999</v>
      </c>
      <c r="K10" s="47">
        <f t="shared" si="1"/>
        <v>-836363.52000000025</v>
      </c>
      <c r="L10" s="47">
        <f t="shared" si="1"/>
        <v>0</v>
      </c>
      <c r="M10" s="47">
        <f t="shared" si="1"/>
        <v>20984663.520000003</v>
      </c>
      <c r="N10" s="47">
        <f t="shared" si="1"/>
        <v>0</v>
      </c>
      <c r="O10" s="47">
        <f t="shared" si="1"/>
        <v>-836363.52000000025</v>
      </c>
      <c r="P10" s="48">
        <v>1.042</v>
      </c>
      <c r="Q10" s="47">
        <f t="shared" si="1"/>
        <v>21890400.289999999</v>
      </c>
      <c r="R10" s="47">
        <f>R12+R37+R39+R66+R95+R101+R109</f>
        <v>-1455193.6199999999</v>
      </c>
      <c r="S10" s="47">
        <f>S12+S37+S39+S66+S95+S101+S109</f>
        <v>20435206.670000002</v>
      </c>
      <c r="T10" s="47">
        <f>T12+T37+T39+T66+T95+T101+T109</f>
        <v>20487727.300000001</v>
      </c>
      <c r="U10" s="47">
        <f>U12+U37+U39+U66+U95+U101+U109</f>
        <v>-52520.629999999146</v>
      </c>
    </row>
    <row r="11" spans="1:22" ht="15" customHeight="1" x14ac:dyDescent="0.2">
      <c r="F11" s="221"/>
      <c r="G11" s="221"/>
      <c r="H11" s="221"/>
      <c r="I11" s="33"/>
      <c r="J11" s="33"/>
      <c r="K11" s="33"/>
      <c r="L11" s="33"/>
      <c r="M11" s="33"/>
      <c r="N11" s="33"/>
      <c r="O11" s="33"/>
      <c r="P11" s="34"/>
      <c r="Q11" s="33"/>
      <c r="R11" s="33"/>
      <c r="S11" s="33"/>
      <c r="T11" s="33"/>
      <c r="U11" s="33"/>
    </row>
    <row r="12" spans="1:22" ht="20.100000000000001" customHeight="1" x14ac:dyDescent="0.2">
      <c r="F12" s="216" t="s">
        <v>56</v>
      </c>
      <c r="G12" s="216"/>
      <c r="H12" s="216"/>
      <c r="I12" s="52">
        <f>SUMIFS(I13:I183,$A13:$A183,"A212401",$B13:$B183,"112")</f>
        <v>18447700</v>
      </c>
      <c r="J12" s="52">
        <f>SUMIFS(J13:J183,$A13:$A183,"A212401",$B13:$B183,"112")</f>
        <v>20201443.609999999</v>
      </c>
      <c r="K12" s="52">
        <f>SUMIFS(K13:K183,$A13:$A183,"A212401",$B13:$B183,"112")</f>
        <v>-1753743.61</v>
      </c>
      <c r="L12" s="52">
        <f>SUMIFS(L13:L183,$A13:$A183,"A212401",$B13:$B183,"112")</f>
        <v>0</v>
      </c>
      <c r="M12" s="52">
        <v>20201443.609999999</v>
      </c>
      <c r="N12" s="52">
        <f>SUMIFS(N13:N183,$A13:$A183,"A212401",$B13:$B183,"112")</f>
        <v>0</v>
      </c>
      <c r="O12" s="52">
        <f>SUMIFS(O13:O183,$A13:$A183,"A212401",$B13:$B183,"112")</f>
        <v>-1753743.61</v>
      </c>
      <c r="P12" s="53">
        <v>1.095</v>
      </c>
      <c r="Q12" s="52">
        <f>SUMIFS(Q13:Q183,$A13:$A183,"A212401",$B13:$B183,"112")</f>
        <v>20201443.609999999</v>
      </c>
      <c r="R12" s="52">
        <f>SUMIFS(R13:R183,$A13:$A183,"A212401",$B13:$B183,"112")</f>
        <v>-1455193.6199999999</v>
      </c>
      <c r="S12" s="52">
        <f>SUMIFS(S13:S183,$A13:$A183,"A212401",$B13:$B183,"112")</f>
        <v>18746249.990000002</v>
      </c>
      <c r="T12" s="52">
        <f>SUMIFS(T13:T183,$A13:$A183,"A212401",$B13:$B183,"112")</f>
        <v>18790381.359999999</v>
      </c>
      <c r="U12" s="52">
        <f>SUMIFS(U13:U183,$A13:$A183,"A212401",$B13:$B183,"112")</f>
        <v>-44131.369999999144</v>
      </c>
      <c r="V12" s="32"/>
    </row>
    <row r="13" spans="1:22" ht="20.100000000000001" customHeight="1" outlineLevel="1" x14ac:dyDescent="0.2">
      <c r="A13" s="26" t="s">
        <v>327</v>
      </c>
      <c r="B13" s="30">
        <v>112</v>
      </c>
      <c r="C13" s="30" t="str">
        <f t="shared" ref="C13:C36" si="2">LEFT(F13,1)</f>
        <v>3</v>
      </c>
      <c r="D13" s="30" t="str">
        <f t="shared" ref="D13:D36" si="3">LEFT(F13,2)</f>
        <v>31</v>
      </c>
      <c r="E13" s="26" t="str">
        <f t="shared" ref="E13:E36" si="4">LEFT(F13,3)</f>
        <v>311</v>
      </c>
      <c r="F13" s="26" t="s">
        <v>57</v>
      </c>
      <c r="G13" s="26" t="s">
        <v>58</v>
      </c>
      <c r="H13" s="26" t="s">
        <v>59</v>
      </c>
      <c r="I13" s="27">
        <v>13944200</v>
      </c>
      <c r="J13" s="27">
        <v>15150822.08</v>
      </c>
      <c r="K13" s="27">
        <v>-1206622.08</v>
      </c>
      <c r="L13" s="27">
        <v>0</v>
      </c>
      <c r="M13" s="27">
        <v>15150822.08</v>
      </c>
      <c r="N13" s="27">
        <v>0</v>
      </c>
      <c r="O13" s="27">
        <v>-1206622.08</v>
      </c>
      <c r="P13" s="28">
        <v>1.087</v>
      </c>
      <c r="Q13" s="27">
        <f>J13</f>
        <v>15150822.08</v>
      </c>
      <c r="R13" s="27">
        <v>-1179731.77</v>
      </c>
      <c r="S13" s="27">
        <f>R13+Q13</f>
        <v>13971090.310000001</v>
      </c>
      <c r="T13" s="27">
        <v>13962614.67</v>
      </c>
      <c r="U13" s="27">
        <f>S13-T13</f>
        <v>8475.640000000596</v>
      </c>
    </row>
    <row r="14" spans="1:22" ht="20.100000000000001" customHeight="1" outlineLevel="1" x14ac:dyDescent="0.2">
      <c r="A14" s="26" t="s">
        <v>327</v>
      </c>
      <c r="B14" s="30">
        <v>112</v>
      </c>
      <c r="C14" s="30" t="str">
        <f t="shared" si="2"/>
        <v>3</v>
      </c>
      <c r="D14" s="30" t="str">
        <f t="shared" si="3"/>
        <v>31</v>
      </c>
      <c r="E14" s="26" t="str">
        <f t="shared" si="4"/>
        <v>312</v>
      </c>
      <c r="F14" s="26" t="s">
        <v>60</v>
      </c>
      <c r="G14" s="26" t="s">
        <v>61</v>
      </c>
      <c r="H14" s="26" t="s">
        <v>62</v>
      </c>
      <c r="I14" s="27">
        <v>899400</v>
      </c>
      <c r="J14" s="27">
        <v>1344751.27</v>
      </c>
      <c r="K14" s="27">
        <v>-445351.27</v>
      </c>
      <c r="L14" s="27">
        <v>0</v>
      </c>
      <c r="M14" s="27">
        <v>1344751.27</v>
      </c>
      <c r="N14" s="27">
        <v>0</v>
      </c>
      <c r="O14" s="27">
        <v>-445351.27</v>
      </c>
      <c r="P14" s="28">
        <v>1.4950000000000001</v>
      </c>
      <c r="Q14" s="27">
        <f t="shared" ref="Q14:Q36" si="5">J14</f>
        <v>1344751.27</v>
      </c>
      <c r="R14" s="27">
        <v>-85169.88</v>
      </c>
      <c r="S14" s="27">
        <f t="shared" ref="S14:S79" si="6">R14+Q14</f>
        <v>1259581.3900000001</v>
      </c>
      <c r="T14" s="27">
        <v>1282770.57</v>
      </c>
      <c r="U14" s="27">
        <f t="shared" ref="U14:U79" si="7">S14-T14</f>
        <v>-23189.179999999935</v>
      </c>
    </row>
    <row r="15" spans="1:22" ht="20.100000000000001" customHeight="1" outlineLevel="1" x14ac:dyDescent="0.2">
      <c r="A15" s="26" t="s">
        <v>327</v>
      </c>
      <c r="B15" s="30">
        <v>112</v>
      </c>
      <c r="C15" s="30" t="str">
        <f t="shared" si="2"/>
        <v>3</v>
      </c>
      <c r="D15" s="30" t="str">
        <f t="shared" si="3"/>
        <v>31</v>
      </c>
      <c r="E15" s="26" t="str">
        <f t="shared" si="4"/>
        <v>313</v>
      </c>
      <c r="F15" s="26" t="s">
        <v>63</v>
      </c>
      <c r="G15" s="26" t="s">
        <v>64</v>
      </c>
      <c r="H15" s="26" t="s">
        <v>65</v>
      </c>
      <c r="I15" s="27">
        <v>2231900</v>
      </c>
      <c r="J15" s="27">
        <v>2425088.31</v>
      </c>
      <c r="K15" s="27">
        <v>-193188.31</v>
      </c>
      <c r="L15" s="27">
        <v>0</v>
      </c>
      <c r="M15" s="27">
        <v>2425088.31</v>
      </c>
      <c r="N15" s="27">
        <v>0</v>
      </c>
      <c r="O15" s="27">
        <v>-193188.31</v>
      </c>
      <c r="P15" s="28">
        <v>1.087</v>
      </c>
      <c r="Q15" s="27">
        <f t="shared" si="5"/>
        <v>2425088.31</v>
      </c>
      <c r="R15" s="27">
        <v>-188401.59</v>
      </c>
      <c r="S15" s="27">
        <f t="shared" si="6"/>
        <v>2236686.7200000002</v>
      </c>
      <c r="T15" s="27">
        <v>2240298.54</v>
      </c>
      <c r="U15" s="27">
        <f t="shared" si="7"/>
        <v>-3611.8199999998324</v>
      </c>
    </row>
    <row r="16" spans="1:22" ht="20.100000000000001" customHeight="1" outlineLevel="1" x14ac:dyDescent="0.2">
      <c r="A16" s="26" t="s">
        <v>327</v>
      </c>
      <c r="B16" s="30">
        <v>112</v>
      </c>
      <c r="C16" s="30" t="str">
        <f t="shared" si="2"/>
        <v>3</v>
      </c>
      <c r="D16" s="30" t="str">
        <f t="shared" si="3"/>
        <v>32</v>
      </c>
      <c r="E16" s="26" t="str">
        <f t="shared" si="4"/>
        <v>321</v>
      </c>
      <c r="F16" s="26" t="s">
        <v>66</v>
      </c>
      <c r="G16" s="26" t="s">
        <v>67</v>
      </c>
      <c r="H16" s="26" t="s">
        <v>68</v>
      </c>
      <c r="I16" s="27">
        <v>321000</v>
      </c>
      <c r="J16" s="27">
        <v>301355.68</v>
      </c>
      <c r="K16" s="27">
        <v>19644.32</v>
      </c>
      <c r="L16" s="27">
        <v>0</v>
      </c>
      <c r="M16" s="27">
        <v>301355.68</v>
      </c>
      <c r="N16" s="27">
        <v>0</v>
      </c>
      <c r="O16" s="27">
        <v>19644.32</v>
      </c>
      <c r="P16" s="28">
        <v>0.93899999999999995</v>
      </c>
      <c r="Q16" s="27">
        <f t="shared" si="5"/>
        <v>301355.68</v>
      </c>
      <c r="R16" s="27">
        <v>-3372.23</v>
      </c>
      <c r="S16" s="27">
        <f t="shared" si="6"/>
        <v>297983.45</v>
      </c>
      <c r="T16" s="27">
        <v>311375.78999999998</v>
      </c>
      <c r="U16" s="27">
        <f t="shared" si="7"/>
        <v>-13392.339999999967</v>
      </c>
    </row>
    <row r="17" spans="1:21" ht="20.100000000000001" customHeight="1" outlineLevel="1" x14ac:dyDescent="0.2">
      <c r="A17" s="26" t="s">
        <v>327</v>
      </c>
      <c r="B17" s="30">
        <v>112</v>
      </c>
      <c r="C17" s="30" t="str">
        <f t="shared" si="2"/>
        <v>3</v>
      </c>
      <c r="D17" s="30" t="str">
        <f t="shared" si="3"/>
        <v>32</v>
      </c>
      <c r="E17" s="26" t="str">
        <f t="shared" si="4"/>
        <v>321</v>
      </c>
      <c r="F17" s="26" t="s">
        <v>69</v>
      </c>
      <c r="G17" s="26" t="s">
        <v>70</v>
      </c>
      <c r="H17" s="26" t="s">
        <v>71</v>
      </c>
      <c r="I17" s="27">
        <v>25000</v>
      </c>
      <c r="J17" s="27">
        <v>26755.89</v>
      </c>
      <c r="K17" s="27">
        <v>-1755.89</v>
      </c>
      <c r="L17" s="27">
        <v>0</v>
      </c>
      <c r="M17" s="27">
        <v>26755.89</v>
      </c>
      <c r="N17" s="27">
        <v>0</v>
      </c>
      <c r="O17" s="27">
        <v>-1755.89</v>
      </c>
      <c r="P17" s="28">
        <v>1.07</v>
      </c>
      <c r="Q17" s="27">
        <f t="shared" si="5"/>
        <v>26755.89</v>
      </c>
      <c r="R17" s="27">
        <v>870.32</v>
      </c>
      <c r="S17" s="27">
        <f t="shared" si="6"/>
        <v>27626.21</v>
      </c>
      <c r="T17" s="27">
        <v>26755.89</v>
      </c>
      <c r="U17" s="27">
        <f t="shared" si="7"/>
        <v>870.31999999999971</v>
      </c>
    </row>
    <row r="18" spans="1:21" ht="20.100000000000001" customHeight="1" outlineLevel="1" x14ac:dyDescent="0.2">
      <c r="A18" s="26" t="s">
        <v>327</v>
      </c>
      <c r="B18" s="30">
        <v>112</v>
      </c>
      <c r="C18" s="30" t="str">
        <f t="shared" si="2"/>
        <v>3</v>
      </c>
      <c r="D18" s="30" t="str">
        <f t="shared" si="3"/>
        <v>32</v>
      </c>
      <c r="E18" s="26" t="str">
        <f t="shared" si="4"/>
        <v>322</v>
      </c>
      <c r="F18" s="26" t="s">
        <v>72</v>
      </c>
      <c r="G18" s="26" t="s">
        <v>73</v>
      </c>
      <c r="H18" s="26" t="s">
        <v>74</v>
      </c>
      <c r="I18" s="27">
        <v>4500</v>
      </c>
      <c r="J18" s="27">
        <v>4545</v>
      </c>
      <c r="K18" s="27">
        <v>-45</v>
      </c>
      <c r="L18" s="27">
        <v>0</v>
      </c>
      <c r="M18" s="27">
        <v>4545</v>
      </c>
      <c r="N18" s="27">
        <v>0</v>
      </c>
      <c r="O18" s="27">
        <v>-45</v>
      </c>
      <c r="P18" s="28">
        <v>1.01</v>
      </c>
      <c r="Q18" s="27">
        <f t="shared" si="5"/>
        <v>4545</v>
      </c>
      <c r="R18" s="27">
        <v>40.75</v>
      </c>
      <c r="S18" s="27">
        <f t="shared" si="6"/>
        <v>4585.75</v>
      </c>
      <c r="T18" s="27">
        <v>4545</v>
      </c>
      <c r="U18" s="27">
        <f t="shared" si="7"/>
        <v>40.75</v>
      </c>
    </row>
    <row r="19" spans="1:21" ht="20.100000000000001" customHeight="1" outlineLevel="1" x14ac:dyDescent="0.2">
      <c r="A19" s="26" t="s">
        <v>327</v>
      </c>
      <c r="B19" s="30">
        <v>112</v>
      </c>
      <c r="C19" s="30" t="str">
        <f t="shared" si="2"/>
        <v>3</v>
      </c>
      <c r="D19" s="30" t="str">
        <f t="shared" si="3"/>
        <v>32</v>
      </c>
      <c r="E19" s="26" t="str">
        <f t="shared" si="4"/>
        <v>322</v>
      </c>
      <c r="F19" s="26" t="s">
        <v>75</v>
      </c>
      <c r="G19" s="26" t="s">
        <v>76</v>
      </c>
      <c r="H19" s="26" t="s">
        <v>77</v>
      </c>
      <c r="I19" s="27">
        <v>43400</v>
      </c>
      <c r="J19" s="27">
        <v>7878.08</v>
      </c>
      <c r="K19" s="27">
        <v>35521.919999999998</v>
      </c>
      <c r="L19" s="27">
        <v>0</v>
      </c>
      <c r="M19" s="27">
        <v>7878.08</v>
      </c>
      <c r="N19" s="27">
        <v>0</v>
      </c>
      <c r="O19" s="27">
        <v>35521.919999999998</v>
      </c>
      <c r="P19" s="28">
        <v>0.182</v>
      </c>
      <c r="Q19" s="27">
        <f t="shared" si="5"/>
        <v>7878.08</v>
      </c>
      <c r="R19" s="27"/>
      <c r="S19" s="27">
        <f t="shared" si="6"/>
        <v>7878.08</v>
      </c>
      <c r="T19" s="27">
        <v>7878.08</v>
      </c>
      <c r="U19" s="27">
        <f t="shared" si="7"/>
        <v>0</v>
      </c>
    </row>
    <row r="20" spans="1:21" ht="20.100000000000001" customHeight="1" outlineLevel="1" x14ac:dyDescent="0.2">
      <c r="A20" s="26" t="s">
        <v>327</v>
      </c>
      <c r="B20" s="30">
        <v>112</v>
      </c>
      <c r="C20" s="30" t="str">
        <f t="shared" si="2"/>
        <v>3</v>
      </c>
      <c r="D20" s="30" t="str">
        <f t="shared" si="3"/>
        <v>32</v>
      </c>
      <c r="E20" s="26" t="str">
        <f t="shared" si="4"/>
        <v>322</v>
      </c>
      <c r="F20" s="26" t="s">
        <v>78</v>
      </c>
      <c r="G20" s="26" t="s">
        <v>79</v>
      </c>
      <c r="H20" s="26" t="s">
        <v>80</v>
      </c>
      <c r="I20" s="27">
        <v>446900</v>
      </c>
      <c r="J20" s="27">
        <v>407791.85</v>
      </c>
      <c r="K20" s="27">
        <v>39108.15</v>
      </c>
      <c r="L20" s="27">
        <v>0</v>
      </c>
      <c r="M20" s="27">
        <v>407791.85</v>
      </c>
      <c r="N20" s="27">
        <v>0</v>
      </c>
      <c r="O20" s="27">
        <v>39108.15</v>
      </c>
      <c r="P20" s="28">
        <v>0.91300000000000003</v>
      </c>
      <c r="Q20" s="27">
        <f t="shared" si="5"/>
        <v>407791.85</v>
      </c>
      <c r="R20" s="27"/>
      <c r="S20" s="27">
        <f t="shared" si="6"/>
        <v>407791.85</v>
      </c>
      <c r="T20" s="27">
        <v>407807.11</v>
      </c>
      <c r="U20" s="27">
        <f t="shared" si="7"/>
        <v>-15.260000000009313</v>
      </c>
    </row>
    <row r="21" spans="1:21" ht="20.100000000000001" customHeight="1" outlineLevel="1" x14ac:dyDescent="0.2">
      <c r="A21" s="26" t="s">
        <v>327</v>
      </c>
      <c r="B21" s="30">
        <v>112</v>
      </c>
      <c r="C21" s="30" t="str">
        <f t="shared" si="2"/>
        <v>3</v>
      </c>
      <c r="D21" s="30" t="str">
        <f t="shared" si="3"/>
        <v>32</v>
      </c>
      <c r="E21" s="26" t="str">
        <f t="shared" si="4"/>
        <v>322</v>
      </c>
      <c r="F21" s="26" t="s">
        <v>81</v>
      </c>
      <c r="G21" s="26" t="s">
        <v>82</v>
      </c>
      <c r="H21" s="26" t="s">
        <v>83</v>
      </c>
      <c r="I21" s="27">
        <v>5000</v>
      </c>
      <c r="J21" s="27">
        <v>4030.8</v>
      </c>
      <c r="K21" s="27">
        <v>969.2</v>
      </c>
      <c r="L21" s="27">
        <v>0</v>
      </c>
      <c r="M21" s="27">
        <v>4030.8</v>
      </c>
      <c r="N21" s="27">
        <v>0</v>
      </c>
      <c r="O21" s="27">
        <v>969.2</v>
      </c>
      <c r="P21" s="28">
        <v>0.80600000000000005</v>
      </c>
      <c r="Q21" s="27">
        <f t="shared" si="5"/>
        <v>4030.8</v>
      </c>
      <c r="R21" s="27"/>
      <c r="S21" s="27">
        <f t="shared" si="6"/>
        <v>4030.8</v>
      </c>
      <c r="T21" s="27">
        <v>5000</v>
      </c>
      <c r="U21" s="27">
        <f t="shared" si="7"/>
        <v>-969.19999999999982</v>
      </c>
    </row>
    <row r="22" spans="1:21" ht="20.100000000000001" customHeight="1" outlineLevel="1" x14ac:dyDescent="0.2">
      <c r="A22" s="26" t="s">
        <v>327</v>
      </c>
      <c r="B22" s="30">
        <v>112</v>
      </c>
      <c r="C22" s="30" t="str">
        <f t="shared" si="2"/>
        <v>3</v>
      </c>
      <c r="D22" s="30" t="str">
        <f t="shared" si="3"/>
        <v>32</v>
      </c>
      <c r="E22" s="26" t="str">
        <f t="shared" si="4"/>
        <v>322</v>
      </c>
      <c r="F22" s="26" t="s">
        <v>84</v>
      </c>
      <c r="G22" s="26" t="s">
        <v>85</v>
      </c>
      <c r="H22" s="26" t="s">
        <v>86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8">
        <v>0</v>
      </c>
      <c r="Q22" s="27">
        <f t="shared" si="5"/>
        <v>0</v>
      </c>
      <c r="R22" s="27"/>
      <c r="S22" s="27">
        <f t="shared" si="6"/>
        <v>0</v>
      </c>
      <c r="T22" s="27"/>
      <c r="U22" s="27">
        <f t="shared" si="7"/>
        <v>0</v>
      </c>
    </row>
    <row r="23" spans="1:21" ht="20.100000000000001" customHeight="1" outlineLevel="1" x14ac:dyDescent="0.2">
      <c r="A23" s="26" t="s">
        <v>327</v>
      </c>
      <c r="B23" s="30">
        <v>112</v>
      </c>
      <c r="C23" s="30" t="str">
        <f t="shared" si="2"/>
        <v>3</v>
      </c>
      <c r="D23" s="30" t="str">
        <f t="shared" si="3"/>
        <v>32</v>
      </c>
      <c r="E23" s="26" t="str">
        <f t="shared" si="4"/>
        <v>323</v>
      </c>
      <c r="F23" s="26" t="s">
        <v>87</v>
      </c>
      <c r="G23" s="26" t="s">
        <v>88</v>
      </c>
      <c r="H23" s="26" t="s">
        <v>89</v>
      </c>
      <c r="I23" s="27">
        <v>4000</v>
      </c>
      <c r="J23" s="27">
        <v>4000</v>
      </c>
      <c r="K23" s="27">
        <v>0</v>
      </c>
      <c r="L23" s="27">
        <v>0</v>
      </c>
      <c r="M23" s="27">
        <v>4000</v>
      </c>
      <c r="N23" s="27">
        <v>0</v>
      </c>
      <c r="O23" s="27">
        <v>0</v>
      </c>
      <c r="P23" s="28">
        <v>1</v>
      </c>
      <c r="Q23" s="27">
        <f t="shared" si="5"/>
        <v>4000</v>
      </c>
      <c r="R23" s="27"/>
      <c r="S23" s="27">
        <f t="shared" si="6"/>
        <v>4000</v>
      </c>
      <c r="T23" s="27">
        <v>4000</v>
      </c>
      <c r="U23" s="27">
        <f t="shared" si="7"/>
        <v>0</v>
      </c>
    </row>
    <row r="24" spans="1:21" ht="20.100000000000001" customHeight="1" outlineLevel="1" x14ac:dyDescent="0.2">
      <c r="A24" s="26" t="s">
        <v>327</v>
      </c>
      <c r="B24" s="30">
        <v>112</v>
      </c>
      <c r="C24" s="30" t="str">
        <f t="shared" si="2"/>
        <v>3</v>
      </c>
      <c r="D24" s="30" t="str">
        <f t="shared" si="3"/>
        <v>32</v>
      </c>
      <c r="E24" s="26" t="str">
        <f t="shared" si="4"/>
        <v>323</v>
      </c>
      <c r="F24" s="26" t="s">
        <v>38</v>
      </c>
      <c r="G24" s="26" t="s">
        <v>90</v>
      </c>
      <c r="H24" s="26" t="s">
        <v>40</v>
      </c>
      <c r="I24" s="27">
        <v>10000</v>
      </c>
      <c r="J24" s="27">
        <v>10292.129999999999</v>
      </c>
      <c r="K24" s="27">
        <v>-292.13</v>
      </c>
      <c r="L24" s="27">
        <v>0</v>
      </c>
      <c r="M24" s="27">
        <v>10292.129999999999</v>
      </c>
      <c r="N24" s="27">
        <v>0</v>
      </c>
      <c r="O24" s="27">
        <v>-292.13</v>
      </c>
      <c r="P24" s="28">
        <v>1.0289999999999999</v>
      </c>
      <c r="Q24" s="27">
        <f t="shared" si="5"/>
        <v>10292.129999999999</v>
      </c>
      <c r="R24" s="27"/>
      <c r="S24" s="27">
        <f t="shared" si="6"/>
        <v>10292.129999999999</v>
      </c>
      <c r="T24" s="27">
        <v>10292.129999999999</v>
      </c>
      <c r="U24" s="27">
        <f t="shared" si="7"/>
        <v>0</v>
      </c>
    </row>
    <row r="25" spans="1:21" ht="20.100000000000001" customHeight="1" outlineLevel="1" x14ac:dyDescent="0.2">
      <c r="A25" s="26" t="s">
        <v>327</v>
      </c>
      <c r="B25" s="30">
        <v>112</v>
      </c>
      <c r="C25" s="30" t="str">
        <f t="shared" si="2"/>
        <v>3</v>
      </c>
      <c r="D25" s="30" t="str">
        <f t="shared" si="3"/>
        <v>32</v>
      </c>
      <c r="E25" s="26" t="str">
        <f t="shared" si="4"/>
        <v>323</v>
      </c>
      <c r="F25" s="26" t="s">
        <v>91</v>
      </c>
      <c r="G25" s="26" t="s">
        <v>92</v>
      </c>
      <c r="H25" s="26" t="s">
        <v>93</v>
      </c>
      <c r="I25" s="27">
        <v>30000</v>
      </c>
      <c r="J25" s="27">
        <v>25094.49</v>
      </c>
      <c r="K25" s="27">
        <v>4905.51</v>
      </c>
      <c r="L25" s="27">
        <v>0</v>
      </c>
      <c r="M25" s="27">
        <v>25094.49</v>
      </c>
      <c r="N25" s="27">
        <v>0</v>
      </c>
      <c r="O25" s="27">
        <v>4905.51</v>
      </c>
      <c r="P25" s="28">
        <v>0.83699999999999997</v>
      </c>
      <c r="Q25" s="27">
        <f t="shared" si="5"/>
        <v>25094.49</v>
      </c>
      <c r="R25" s="27"/>
      <c r="S25" s="27">
        <f t="shared" si="6"/>
        <v>25094.49</v>
      </c>
      <c r="T25" s="27">
        <v>25094.49</v>
      </c>
      <c r="U25" s="27">
        <f t="shared" si="7"/>
        <v>0</v>
      </c>
    </row>
    <row r="26" spans="1:21" ht="20.100000000000001" customHeight="1" outlineLevel="1" x14ac:dyDescent="0.2">
      <c r="A26" s="26" t="s">
        <v>327</v>
      </c>
      <c r="B26" s="30">
        <v>112</v>
      </c>
      <c r="C26" s="30" t="str">
        <f t="shared" si="2"/>
        <v>3</v>
      </c>
      <c r="D26" s="30" t="str">
        <f t="shared" si="3"/>
        <v>32</v>
      </c>
      <c r="E26" s="26" t="str">
        <f t="shared" si="4"/>
        <v>323</v>
      </c>
      <c r="F26" s="26" t="s">
        <v>94</v>
      </c>
      <c r="G26" s="26" t="s">
        <v>95</v>
      </c>
      <c r="H26" s="26" t="s">
        <v>96</v>
      </c>
      <c r="I26" s="27">
        <v>134300</v>
      </c>
      <c r="J26" s="27">
        <v>141678.94</v>
      </c>
      <c r="K26" s="27">
        <v>-7378.94</v>
      </c>
      <c r="L26" s="27">
        <v>0</v>
      </c>
      <c r="M26" s="27">
        <v>141678.94</v>
      </c>
      <c r="N26" s="27">
        <v>0</v>
      </c>
      <c r="O26" s="27">
        <v>-7378.94</v>
      </c>
      <c r="P26" s="28">
        <v>1.0549999999999999</v>
      </c>
      <c r="Q26" s="27">
        <f t="shared" si="5"/>
        <v>141678.94</v>
      </c>
      <c r="R26" s="27"/>
      <c r="S26" s="27">
        <f t="shared" si="6"/>
        <v>141678.94</v>
      </c>
      <c r="T26" s="27">
        <v>150922.5</v>
      </c>
      <c r="U26" s="27">
        <f t="shared" si="7"/>
        <v>-9243.5599999999977</v>
      </c>
    </row>
    <row r="27" spans="1:21" ht="20.100000000000001" customHeight="1" outlineLevel="1" x14ac:dyDescent="0.2">
      <c r="A27" s="26" t="s">
        <v>327</v>
      </c>
      <c r="B27" s="30">
        <v>112</v>
      </c>
      <c r="C27" s="30" t="str">
        <f t="shared" si="2"/>
        <v>3</v>
      </c>
      <c r="D27" s="30" t="str">
        <f t="shared" si="3"/>
        <v>32</v>
      </c>
      <c r="E27" s="26" t="str">
        <f t="shared" si="4"/>
        <v>323</v>
      </c>
      <c r="F27" s="26" t="s">
        <v>97</v>
      </c>
      <c r="G27" s="26" t="s">
        <v>98</v>
      </c>
      <c r="H27" s="26" t="s">
        <v>99</v>
      </c>
      <c r="I27" s="27">
        <v>117500</v>
      </c>
      <c r="J27" s="27">
        <v>118372.66</v>
      </c>
      <c r="K27" s="27">
        <v>-872.66</v>
      </c>
      <c r="L27" s="27">
        <v>0</v>
      </c>
      <c r="M27" s="27">
        <v>118372.66</v>
      </c>
      <c r="N27" s="27">
        <v>0</v>
      </c>
      <c r="O27" s="27">
        <v>-872.66</v>
      </c>
      <c r="P27" s="28">
        <v>1.0069999999999999</v>
      </c>
      <c r="Q27" s="27">
        <f t="shared" si="5"/>
        <v>118372.66</v>
      </c>
      <c r="R27" s="27"/>
      <c r="S27" s="27">
        <f t="shared" si="6"/>
        <v>118372.66</v>
      </c>
      <c r="T27" s="27">
        <v>118372.66</v>
      </c>
      <c r="U27" s="27">
        <f t="shared" si="7"/>
        <v>0</v>
      </c>
    </row>
    <row r="28" spans="1:21" ht="20.100000000000001" customHeight="1" outlineLevel="1" x14ac:dyDescent="0.2">
      <c r="A28" s="26" t="s">
        <v>327</v>
      </c>
      <c r="B28" s="30">
        <v>112</v>
      </c>
      <c r="C28" s="30" t="str">
        <f t="shared" si="2"/>
        <v>3</v>
      </c>
      <c r="D28" s="30" t="str">
        <f t="shared" si="3"/>
        <v>32</v>
      </c>
      <c r="E28" s="26" t="str">
        <f t="shared" si="4"/>
        <v>323</v>
      </c>
      <c r="F28" s="26" t="s">
        <v>100</v>
      </c>
      <c r="G28" s="26" t="s">
        <v>101</v>
      </c>
      <c r="H28" s="26" t="s">
        <v>102</v>
      </c>
      <c r="I28" s="27">
        <v>54000</v>
      </c>
      <c r="J28" s="27">
        <v>25415</v>
      </c>
      <c r="K28" s="27">
        <v>28585</v>
      </c>
      <c r="L28" s="27">
        <v>0</v>
      </c>
      <c r="M28" s="27">
        <v>25415</v>
      </c>
      <c r="N28" s="27">
        <v>0</v>
      </c>
      <c r="O28" s="27">
        <v>28585</v>
      </c>
      <c r="P28" s="28">
        <v>0.47099999999999997</v>
      </c>
      <c r="Q28" s="27">
        <f t="shared" si="5"/>
        <v>25415</v>
      </c>
      <c r="R28" s="27"/>
      <c r="S28" s="27">
        <f t="shared" si="6"/>
        <v>25415</v>
      </c>
      <c r="T28" s="27">
        <v>25415</v>
      </c>
      <c r="U28" s="27">
        <f t="shared" si="7"/>
        <v>0</v>
      </c>
    </row>
    <row r="29" spans="1:21" ht="20.100000000000001" customHeight="1" outlineLevel="1" x14ac:dyDescent="0.2">
      <c r="A29" s="26" t="s">
        <v>327</v>
      </c>
      <c r="B29" s="30">
        <v>112</v>
      </c>
      <c r="C29" s="30" t="str">
        <f t="shared" si="2"/>
        <v>3</v>
      </c>
      <c r="D29" s="30" t="str">
        <f t="shared" si="3"/>
        <v>32</v>
      </c>
      <c r="E29" s="26" t="str">
        <f t="shared" si="4"/>
        <v>323</v>
      </c>
      <c r="F29" s="26" t="s">
        <v>41</v>
      </c>
      <c r="G29" s="26" t="s">
        <v>103</v>
      </c>
      <c r="H29" s="26" t="s">
        <v>43</v>
      </c>
      <c r="I29" s="27">
        <v>95600</v>
      </c>
      <c r="J29" s="27">
        <v>107777.74</v>
      </c>
      <c r="K29" s="27">
        <v>-12177.74</v>
      </c>
      <c r="L29" s="27">
        <v>0</v>
      </c>
      <c r="M29" s="27">
        <v>107777.74</v>
      </c>
      <c r="N29" s="27">
        <v>0</v>
      </c>
      <c r="O29" s="27">
        <v>-12177.74</v>
      </c>
      <c r="P29" s="28">
        <v>1.127</v>
      </c>
      <c r="Q29" s="27">
        <f t="shared" si="5"/>
        <v>107777.74</v>
      </c>
      <c r="R29" s="27"/>
      <c r="S29" s="27">
        <f t="shared" si="6"/>
        <v>107777.74</v>
      </c>
      <c r="T29" s="27">
        <v>111712.14</v>
      </c>
      <c r="U29" s="27">
        <f t="shared" si="7"/>
        <v>-3934.3999999999942</v>
      </c>
    </row>
    <row r="30" spans="1:21" ht="20.100000000000001" customHeight="1" outlineLevel="1" x14ac:dyDescent="0.2">
      <c r="A30" s="26" t="s">
        <v>327</v>
      </c>
      <c r="B30" s="30">
        <v>112</v>
      </c>
      <c r="C30" s="30" t="str">
        <f t="shared" si="2"/>
        <v>3</v>
      </c>
      <c r="D30" s="30" t="str">
        <f t="shared" si="3"/>
        <v>32</v>
      </c>
      <c r="E30" s="26" t="str">
        <f t="shared" si="4"/>
        <v>323</v>
      </c>
      <c r="F30" s="26" t="s">
        <v>104</v>
      </c>
      <c r="G30" s="26" t="s">
        <v>105</v>
      </c>
      <c r="H30" s="26" t="s">
        <v>106</v>
      </c>
      <c r="I30" s="27">
        <v>50000</v>
      </c>
      <c r="J30" s="27">
        <v>50000</v>
      </c>
      <c r="K30" s="27">
        <v>0</v>
      </c>
      <c r="L30" s="27">
        <v>0</v>
      </c>
      <c r="M30" s="27">
        <v>50000</v>
      </c>
      <c r="N30" s="27">
        <v>0</v>
      </c>
      <c r="O30" s="27">
        <v>0</v>
      </c>
      <c r="P30" s="28">
        <v>1</v>
      </c>
      <c r="Q30" s="27">
        <f t="shared" si="5"/>
        <v>50000</v>
      </c>
      <c r="R30" s="27"/>
      <c r="S30" s="27">
        <f t="shared" si="6"/>
        <v>50000</v>
      </c>
      <c r="T30" s="27">
        <v>50000</v>
      </c>
      <c r="U30" s="27">
        <f t="shared" si="7"/>
        <v>0</v>
      </c>
    </row>
    <row r="31" spans="1:21" ht="20.100000000000001" customHeight="1" outlineLevel="1" x14ac:dyDescent="0.2">
      <c r="A31" s="26" t="s">
        <v>327</v>
      </c>
      <c r="B31" s="30">
        <v>112</v>
      </c>
      <c r="C31" s="30" t="str">
        <f t="shared" si="2"/>
        <v>3</v>
      </c>
      <c r="D31" s="30" t="str">
        <f t="shared" si="3"/>
        <v>32</v>
      </c>
      <c r="E31" s="26" t="str">
        <f t="shared" si="4"/>
        <v>329</v>
      </c>
      <c r="F31" s="26" t="s">
        <v>107</v>
      </c>
      <c r="G31" s="26" t="s">
        <v>108</v>
      </c>
      <c r="H31" s="26" t="s">
        <v>109</v>
      </c>
      <c r="I31" s="27">
        <v>4000</v>
      </c>
      <c r="J31" s="27">
        <v>5350.82</v>
      </c>
      <c r="K31" s="27">
        <v>-1350.82</v>
      </c>
      <c r="L31" s="27">
        <v>0</v>
      </c>
      <c r="M31" s="27">
        <v>5350.82</v>
      </c>
      <c r="N31" s="27">
        <v>0</v>
      </c>
      <c r="O31" s="27">
        <v>-1350.82</v>
      </c>
      <c r="P31" s="28">
        <v>1.3380000000000001</v>
      </c>
      <c r="Q31" s="27">
        <f t="shared" si="5"/>
        <v>5350.82</v>
      </c>
      <c r="R31" s="27">
        <v>570.78</v>
      </c>
      <c r="S31" s="27">
        <f t="shared" si="6"/>
        <v>5921.5999999999995</v>
      </c>
      <c r="T31" s="27">
        <v>5083.92</v>
      </c>
      <c r="U31" s="27">
        <f t="shared" si="7"/>
        <v>837.67999999999938</v>
      </c>
    </row>
    <row r="32" spans="1:21" ht="20.100000000000001" customHeight="1" outlineLevel="1" x14ac:dyDescent="0.2">
      <c r="A32" s="26" t="s">
        <v>327</v>
      </c>
      <c r="B32" s="30">
        <v>112</v>
      </c>
      <c r="C32" s="30" t="str">
        <f t="shared" si="2"/>
        <v>3</v>
      </c>
      <c r="D32" s="30" t="str">
        <f t="shared" si="3"/>
        <v>32</v>
      </c>
      <c r="E32" s="26" t="str">
        <f t="shared" si="4"/>
        <v>329</v>
      </c>
      <c r="F32" s="26" t="s">
        <v>110</v>
      </c>
      <c r="G32" s="26" t="s">
        <v>111</v>
      </c>
      <c r="H32" s="26" t="s">
        <v>112</v>
      </c>
      <c r="I32" s="27">
        <v>25000</v>
      </c>
      <c r="J32" s="27">
        <v>24824.87</v>
      </c>
      <c r="K32" s="27">
        <v>175.13</v>
      </c>
      <c r="L32" s="27">
        <v>0</v>
      </c>
      <c r="M32" s="27">
        <v>24824.87</v>
      </c>
      <c r="N32" s="27">
        <v>0</v>
      </c>
      <c r="O32" s="27">
        <v>175.13</v>
      </c>
      <c r="P32" s="28">
        <v>0.99299999999999999</v>
      </c>
      <c r="Q32" s="27">
        <f t="shared" si="5"/>
        <v>24824.87</v>
      </c>
      <c r="R32" s="27"/>
      <c r="S32" s="27">
        <f t="shared" si="6"/>
        <v>24824.87</v>
      </c>
      <c r="T32" s="27">
        <v>24824.87</v>
      </c>
      <c r="U32" s="27">
        <f t="shared" si="7"/>
        <v>0</v>
      </c>
    </row>
    <row r="33" spans="1:22" ht="20.100000000000001" customHeight="1" outlineLevel="1" x14ac:dyDescent="0.2">
      <c r="A33" s="26" t="s">
        <v>327</v>
      </c>
      <c r="B33" s="30">
        <v>112</v>
      </c>
      <c r="C33" s="30" t="str">
        <f t="shared" si="2"/>
        <v>3</v>
      </c>
      <c r="D33" s="30" t="str">
        <f t="shared" si="3"/>
        <v>32</v>
      </c>
      <c r="E33" s="26" t="str">
        <f t="shared" si="4"/>
        <v>329</v>
      </c>
      <c r="F33" s="26" t="s">
        <v>113</v>
      </c>
      <c r="G33" s="26" t="s">
        <v>114</v>
      </c>
      <c r="H33" s="26" t="s">
        <v>115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8">
        <v>0</v>
      </c>
      <c r="Q33" s="27">
        <f t="shared" si="5"/>
        <v>0</v>
      </c>
      <c r="R33" s="27"/>
      <c r="S33" s="27">
        <f t="shared" si="6"/>
        <v>0</v>
      </c>
      <c r="T33" s="27"/>
      <c r="U33" s="27">
        <f t="shared" si="7"/>
        <v>0</v>
      </c>
    </row>
    <row r="34" spans="1:22" ht="20.100000000000001" customHeight="1" outlineLevel="1" x14ac:dyDescent="0.2">
      <c r="A34" s="26" t="s">
        <v>327</v>
      </c>
      <c r="B34" s="30">
        <v>112</v>
      </c>
      <c r="C34" s="30" t="str">
        <f t="shared" si="2"/>
        <v>3</v>
      </c>
      <c r="D34" s="30" t="str">
        <f t="shared" si="3"/>
        <v>32</v>
      </c>
      <c r="E34" s="26" t="str">
        <f t="shared" si="4"/>
        <v>329</v>
      </c>
      <c r="F34" s="26" t="s">
        <v>116</v>
      </c>
      <c r="G34" s="26" t="s">
        <v>117</v>
      </c>
      <c r="H34" s="26" t="s">
        <v>118</v>
      </c>
      <c r="I34" s="27">
        <v>1000</v>
      </c>
      <c r="J34" s="27">
        <v>14618</v>
      </c>
      <c r="K34" s="27">
        <v>-13618</v>
      </c>
      <c r="L34" s="27">
        <v>0</v>
      </c>
      <c r="M34" s="27">
        <v>14618</v>
      </c>
      <c r="N34" s="27">
        <v>0</v>
      </c>
      <c r="O34" s="27">
        <v>-13618</v>
      </c>
      <c r="P34" s="28">
        <v>14.618</v>
      </c>
      <c r="Q34" s="27">
        <f t="shared" si="5"/>
        <v>14618</v>
      </c>
      <c r="R34" s="27"/>
      <c r="S34" s="27">
        <f t="shared" si="6"/>
        <v>14618</v>
      </c>
      <c r="T34" s="27">
        <v>14618</v>
      </c>
      <c r="U34" s="27">
        <f t="shared" si="7"/>
        <v>0</v>
      </c>
    </row>
    <row r="35" spans="1:22" ht="20.100000000000001" customHeight="1" outlineLevel="1" x14ac:dyDescent="0.2">
      <c r="A35" s="26" t="s">
        <v>327</v>
      </c>
      <c r="B35" s="30">
        <v>112</v>
      </c>
      <c r="C35" s="30" t="str">
        <f t="shared" si="2"/>
        <v>3</v>
      </c>
      <c r="D35" s="30" t="str">
        <f t="shared" si="3"/>
        <v>34</v>
      </c>
      <c r="E35" s="26" t="str">
        <f t="shared" si="4"/>
        <v>343</v>
      </c>
      <c r="F35" s="26" t="s">
        <v>119</v>
      </c>
      <c r="G35" s="26" t="s">
        <v>120</v>
      </c>
      <c r="H35" s="26" t="s">
        <v>121</v>
      </c>
      <c r="I35" s="27">
        <v>1000</v>
      </c>
      <c r="J35" s="27">
        <v>1000</v>
      </c>
      <c r="K35" s="27">
        <v>0</v>
      </c>
      <c r="L35" s="27">
        <v>0</v>
      </c>
      <c r="M35" s="27">
        <v>1000</v>
      </c>
      <c r="N35" s="27">
        <v>0</v>
      </c>
      <c r="O35" s="27">
        <v>0</v>
      </c>
      <c r="P35" s="28">
        <v>1</v>
      </c>
      <c r="Q35" s="27">
        <f t="shared" si="5"/>
        <v>1000</v>
      </c>
      <c r="R35" s="27"/>
      <c r="S35" s="27">
        <f t="shared" si="6"/>
        <v>1000</v>
      </c>
      <c r="T35" s="27">
        <v>1000</v>
      </c>
      <c r="U35" s="27">
        <f t="shared" si="7"/>
        <v>0</v>
      </c>
    </row>
    <row r="36" spans="1:22" ht="20.100000000000001" customHeight="1" outlineLevel="1" x14ac:dyDescent="0.2">
      <c r="A36" s="26" t="s">
        <v>327</v>
      </c>
      <c r="B36" s="30">
        <v>112</v>
      </c>
      <c r="C36" s="30" t="str">
        <f t="shared" si="2"/>
        <v>3</v>
      </c>
      <c r="D36" s="30" t="str">
        <f t="shared" si="3"/>
        <v>36</v>
      </c>
      <c r="E36" s="26" t="str">
        <f t="shared" si="4"/>
        <v>369</v>
      </c>
      <c r="F36" s="26" t="s">
        <v>122</v>
      </c>
      <c r="G36" s="26" t="s">
        <v>123</v>
      </c>
      <c r="H36" s="26" t="s">
        <v>124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8">
        <v>0</v>
      </c>
      <c r="Q36" s="27">
        <f t="shared" si="5"/>
        <v>0</v>
      </c>
      <c r="R36" s="27"/>
      <c r="S36" s="27">
        <f t="shared" si="6"/>
        <v>0</v>
      </c>
      <c r="T36" s="27"/>
      <c r="U36" s="27">
        <f t="shared" si="7"/>
        <v>0</v>
      </c>
    </row>
    <row r="37" spans="1:22" ht="20.100000000000001" customHeight="1" x14ac:dyDescent="0.2">
      <c r="F37" s="216" t="s">
        <v>125</v>
      </c>
      <c r="G37" s="216"/>
      <c r="H37" s="216"/>
      <c r="I37" s="52">
        <f>SUMIFS(I38:I208,$A38:$A208,"A212401",$B38:$B208,"311")</f>
        <v>18300</v>
      </c>
      <c r="J37" s="52">
        <f t="shared" ref="J37:U37" si="8">SUMIFS(J38:J208,$A38:$A208,"A212401",$B38:$B208,"311")</f>
        <v>0</v>
      </c>
      <c r="K37" s="52">
        <f t="shared" si="8"/>
        <v>18300</v>
      </c>
      <c r="L37" s="52">
        <f t="shared" si="8"/>
        <v>0</v>
      </c>
      <c r="M37" s="52">
        <f t="shared" si="8"/>
        <v>0</v>
      </c>
      <c r="N37" s="52">
        <f t="shared" si="8"/>
        <v>0</v>
      </c>
      <c r="O37" s="52">
        <f t="shared" si="8"/>
        <v>18300</v>
      </c>
      <c r="P37" s="53">
        <v>0</v>
      </c>
      <c r="Q37" s="52">
        <f t="shared" si="8"/>
        <v>0</v>
      </c>
      <c r="R37" s="52">
        <f t="shared" si="8"/>
        <v>0</v>
      </c>
      <c r="S37" s="52">
        <f t="shared" si="8"/>
        <v>0</v>
      </c>
      <c r="T37" s="52">
        <f t="shared" si="8"/>
        <v>8389.26</v>
      </c>
      <c r="U37" s="52">
        <f t="shared" si="8"/>
        <v>-8389.26</v>
      </c>
      <c r="V37" s="32"/>
    </row>
    <row r="38" spans="1:22" ht="20.100000000000001" customHeight="1" outlineLevel="1" x14ac:dyDescent="0.2">
      <c r="A38" s="26" t="s">
        <v>327</v>
      </c>
      <c r="B38" s="30">
        <v>311</v>
      </c>
      <c r="C38" s="30" t="str">
        <f>LEFT(F38,1)</f>
        <v>3</v>
      </c>
      <c r="D38" s="30" t="str">
        <f>LEFT(F38,2)</f>
        <v>32</v>
      </c>
      <c r="E38" s="26" t="str">
        <f t="shared" ref="E38:E103" si="9">LEFT(F38,3)</f>
        <v>323</v>
      </c>
      <c r="F38" s="26" t="s">
        <v>126</v>
      </c>
      <c r="G38" s="26" t="s">
        <v>127</v>
      </c>
      <c r="H38" s="26" t="s">
        <v>128</v>
      </c>
      <c r="I38" s="27">
        <v>18300</v>
      </c>
      <c r="J38" s="27">
        <v>0</v>
      </c>
      <c r="K38" s="27">
        <v>18300</v>
      </c>
      <c r="L38" s="27">
        <v>0</v>
      </c>
      <c r="M38" s="27">
        <v>0</v>
      </c>
      <c r="N38" s="27">
        <v>0</v>
      </c>
      <c r="O38" s="27">
        <v>18300</v>
      </c>
      <c r="P38" s="28">
        <v>0</v>
      </c>
      <c r="Q38" s="27">
        <f>J38</f>
        <v>0</v>
      </c>
      <c r="R38" s="27"/>
      <c r="S38" s="27">
        <f t="shared" si="6"/>
        <v>0</v>
      </c>
      <c r="T38" s="27">
        <v>8389.26</v>
      </c>
      <c r="U38" s="27">
        <f t="shared" si="7"/>
        <v>-8389.26</v>
      </c>
    </row>
    <row r="39" spans="1:22" ht="20.100000000000001" customHeight="1" x14ac:dyDescent="0.2">
      <c r="F39" s="216" t="s">
        <v>129</v>
      </c>
      <c r="G39" s="216"/>
      <c r="H39" s="216"/>
      <c r="I39" s="52">
        <f>SUMIFS(I40:I210,$A40:$A210,"A212401",$B40:$B210,"431")</f>
        <v>963300</v>
      </c>
      <c r="J39" s="52">
        <f t="shared" ref="J39:U39" si="10">SUMIFS(J40:J210,$A40:$A210,"A212401",$B40:$B210,"431")</f>
        <v>826259.47999999975</v>
      </c>
      <c r="K39" s="52">
        <f t="shared" si="10"/>
        <v>603891.64</v>
      </c>
      <c r="L39" s="52">
        <f t="shared" si="10"/>
        <v>0</v>
      </c>
      <c r="M39" s="52">
        <f t="shared" si="10"/>
        <v>359408.36000000004</v>
      </c>
      <c r="N39" s="52">
        <f t="shared" si="10"/>
        <v>0</v>
      </c>
      <c r="O39" s="52">
        <f t="shared" si="10"/>
        <v>603891.64</v>
      </c>
      <c r="P39" s="53">
        <v>0.373</v>
      </c>
      <c r="Q39" s="52">
        <f t="shared" si="10"/>
        <v>826259.47999999975</v>
      </c>
      <c r="R39" s="52">
        <f t="shared" si="10"/>
        <v>0</v>
      </c>
      <c r="S39" s="52">
        <f t="shared" si="10"/>
        <v>826259.47999999975</v>
      </c>
      <c r="T39" s="52">
        <f t="shared" si="10"/>
        <v>826259.47999999975</v>
      </c>
      <c r="U39" s="52">
        <f t="shared" si="10"/>
        <v>0</v>
      </c>
      <c r="V39" s="32"/>
    </row>
    <row r="40" spans="1:22" ht="20.100000000000001" customHeight="1" outlineLevel="1" x14ac:dyDescent="0.2">
      <c r="A40" s="26" t="s">
        <v>327</v>
      </c>
      <c r="B40" s="30">
        <v>431</v>
      </c>
      <c r="C40" s="30" t="str">
        <f t="shared" ref="C40:C65" si="11">LEFT(F40,1)</f>
        <v>3</v>
      </c>
      <c r="D40" s="30" t="str">
        <f t="shared" ref="D40:D65" si="12">LEFT(F40,2)</f>
        <v>32</v>
      </c>
      <c r="E40" s="26" t="str">
        <f t="shared" si="9"/>
        <v>321</v>
      </c>
      <c r="F40" s="26" t="s">
        <v>130</v>
      </c>
      <c r="G40" s="26" t="s">
        <v>131</v>
      </c>
      <c r="H40" s="26" t="s">
        <v>132</v>
      </c>
      <c r="I40" s="27">
        <v>12000</v>
      </c>
      <c r="J40" s="27">
        <f>T40</f>
        <v>21376.04</v>
      </c>
      <c r="K40" s="27">
        <v>9418.92</v>
      </c>
      <c r="L40" s="27">
        <v>0</v>
      </c>
      <c r="M40" s="27">
        <v>2581.08</v>
      </c>
      <c r="N40" s="27">
        <v>0</v>
      </c>
      <c r="O40" s="27">
        <v>9418.92</v>
      </c>
      <c r="P40" s="28">
        <v>0.215</v>
      </c>
      <c r="Q40" s="27">
        <f t="shared" ref="Q40:Q65" si="13">J40</f>
        <v>21376.04</v>
      </c>
      <c r="R40" s="27"/>
      <c r="S40" s="27">
        <f t="shared" si="6"/>
        <v>21376.04</v>
      </c>
      <c r="T40" s="27">
        <v>21376.04</v>
      </c>
      <c r="U40" s="27">
        <f t="shared" si="7"/>
        <v>0</v>
      </c>
    </row>
    <row r="41" spans="1:22" ht="20.100000000000001" customHeight="1" outlineLevel="1" x14ac:dyDescent="0.2">
      <c r="A41" s="26" t="s">
        <v>327</v>
      </c>
      <c r="B41" s="30">
        <v>431</v>
      </c>
      <c r="C41" s="30" t="str">
        <f t="shared" si="11"/>
        <v>3</v>
      </c>
      <c r="D41" s="30" t="str">
        <f t="shared" si="12"/>
        <v>32</v>
      </c>
      <c r="E41" s="26" t="str">
        <f t="shared" si="9"/>
        <v>321</v>
      </c>
      <c r="F41" s="35">
        <v>3212</v>
      </c>
      <c r="G41" s="26"/>
      <c r="H41" s="26" t="s">
        <v>68</v>
      </c>
      <c r="I41" s="27"/>
      <c r="J41" s="27">
        <f t="shared" ref="J41:J65" si="14">T41</f>
        <v>9.4499999999999993</v>
      </c>
      <c r="K41" s="27"/>
      <c r="L41" s="27"/>
      <c r="M41" s="27"/>
      <c r="N41" s="27"/>
      <c r="O41" s="27"/>
      <c r="P41" s="28"/>
      <c r="Q41" s="27">
        <f t="shared" si="13"/>
        <v>9.4499999999999993</v>
      </c>
      <c r="R41" s="27"/>
      <c r="S41" s="27">
        <f t="shared" si="6"/>
        <v>9.4499999999999993</v>
      </c>
      <c r="T41" s="27">
        <v>9.4499999999999993</v>
      </c>
      <c r="U41" s="27">
        <f t="shared" si="7"/>
        <v>0</v>
      </c>
    </row>
    <row r="42" spans="1:22" ht="20.100000000000001" customHeight="1" outlineLevel="1" x14ac:dyDescent="0.2">
      <c r="A42" s="26" t="s">
        <v>327</v>
      </c>
      <c r="B42" s="30">
        <v>431</v>
      </c>
      <c r="C42" s="30" t="str">
        <f t="shared" si="11"/>
        <v>3</v>
      </c>
      <c r="D42" s="30" t="str">
        <f t="shared" si="12"/>
        <v>32</v>
      </c>
      <c r="E42" s="26" t="str">
        <f t="shared" si="9"/>
        <v>321</v>
      </c>
      <c r="F42" s="26" t="s">
        <v>69</v>
      </c>
      <c r="G42" s="26" t="s">
        <v>133</v>
      </c>
      <c r="H42" s="26" t="s">
        <v>71</v>
      </c>
      <c r="I42" s="27">
        <v>5000</v>
      </c>
      <c r="J42" s="27">
        <f t="shared" si="14"/>
        <v>1051.75</v>
      </c>
      <c r="K42" s="27">
        <v>4520</v>
      </c>
      <c r="L42" s="27">
        <v>0</v>
      </c>
      <c r="M42" s="27">
        <v>480</v>
      </c>
      <c r="N42" s="27">
        <v>0</v>
      </c>
      <c r="O42" s="27">
        <v>4520</v>
      </c>
      <c r="P42" s="28">
        <v>9.6000000000000002E-2</v>
      </c>
      <c r="Q42" s="27">
        <f t="shared" si="13"/>
        <v>1051.75</v>
      </c>
      <c r="R42" s="27"/>
      <c r="S42" s="27">
        <f t="shared" si="6"/>
        <v>1051.75</v>
      </c>
      <c r="T42" s="27">
        <v>1051.75</v>
      </c>
      <c r="U42" s="27">
        <f t="shared" si="7"/>
        <v>0</v>
      </c>
    </row>
    <row r="43" spans="1:22" ht="20.100000000000001" customHeight="1" outlineLevel="1" x14ac:dyDescent="0.2">
      <c r="A43" s="26" t="s">
        <v>327</v>
      </c>
      <c r="B43" s="30">
        <v>431</v>
      </c>
      <c r="C43" s="30" t="str">
        <f t="shared" si="11"/>
        <v>3</v>
      </c>
      <c r="D43" s="30" t="str">
        <f t="shared" si="12"/>
        <v>32</v>
      </c>
      <c r="E43" s="26" t="str">
        <f t="shared" si="9"/>
        <v>322</v>
      </c>
      <c r="F43" s="26" t="s">
        <v>72</v>
      </c>
      <c r="G43" s="26" t="s">
        <v>134</v>
      </c>
      <c r="H43" s="26" t="s">
        <v>74</v>
      </c>
      <c r="I43" s="27">
        <v>73000</v>
      </c>
      <c r="J43" s="27">
        <f t="shared" si="14"/>
        <v>62702.37</v>
      </c>
      <c r="K43" s="27">
        <v>44859.41</v>
      </c>
      <c r="L43" s="27">
        <v>0</v>
      </c>
      <c r="M43" s="27">
        <v>28140.59</v>
      </c>
      <c r="N43" s="27">
        <v>0</v>
      </c>
      <c r="O43" s="27">
        <v>44859.41</v>
      </c>
      <c r="P43" s="28">
        <v>0.38600000000000001</v>
      </c>
      <c r="Q43" s="27">
        <f t="shared" si="13"/>
        <v>62702.37</v>
      </c>
      <c r="R43" s="27"/>
      <c r="S43" s="27">
        <f t="shared" si="6"/>
        <v>62702.37</v>
      </c>
      <c r="T43" s="27">
        <v>62702.37</v>
      </c>
      <c r="U43" s="27">
        <f t="shared" si="7"/>
        <v>0</v>
      </c>
    </row>
    <row r="44" spans="1:22" ht="20.100000000000001" customHeight="1" outlineLevel="1" x14ac:dyDescent="0.2">
      <c r="A44" s="26" t="s">
        <v>327</v>
      </c>
      <c r="B44" s="30">
        <v>431</v>
      </c>
      <c r="C44" s="30" t="str">
        <f t="shared" si="11"/>
        <v>3</v>
      </c>
      <c r="D44" s="30" t="str">
        <f t="shared" si="12"/>
        <v>32</v>
      </c>
      <c r="E44" s="26" t="str">
        <f t="shared" si="9"/>
        <v>322</v>
      </c>
      <c r="F44" s="26" t="s">
        <v>75</v>
      </c>
      <c r="G44" s="26" t="s">
        <v>135</v>
      </c>
      <c r="H44" s="26" t="s">
        <v>77</v>
      </c>
      <c r="I44" s="27">
        <v>64000</v>
      </c>
      <c r="J44" s="27">
        <f t="shared" si="14"/>
        <v>45710.93</v>
      </c>
      <c r="K44" s="27">
        <v>37983.120000000003</v>
      </c>
      <c r="L44" s="27">
        <v>0</v>
      </c>
      <c r="M44" s="27">
        <v>26016.880000000001</v>
      </c>
      <c r="N44" s="27">
        <v>0</v>
      </c>
      <c r="O44" s="27">
        <v>37983.120000000003</v>
      </c>
      <c r="P44" s="28">
        <v>0.40699999999999997</v>
      </c>
      <c r="Q44" s="27">
        <f t="shared" si="13"/>
        <v>45710.93</v>
      </c>
      <c r="R44" s="27"/>
      <c r="S44" s="27">
        <f t="shared" si="6"/>
        <v>45710.93</v>
      </c>
      <c r="T44" s="27">
        <v>45710.93</v>
      </c>
      <c r="U44" s="27">
        <f t="shared" si="7"/>
        <v>0</v>
      </c>
    </row>
    <row r="45" spans="1:22" ht="20.100000000000001" customHeight="1" outlineLevel="1" x14ac:dyDescent="0.2">
      <c r="A45" s="26" t="s">
        <v>327</v>
      </c>
      <c r="B45" s="30">
        <v>431</v>
      </c>
      <c r="C45" s="30" t="str">
        <f t="shared" si="11"/>
        <v>3</v>
      </c>
      <c r="D45" s="30" t="str">
        <f t="shared" si="12"/>
        <v>32</v>
      </c>
      <c r="E45" s="26" t="str">
        <f t="shared" si="9"/>
        <v>322</v>
      </c>
      <c r="F45" s="35">
        <v>3223</v>
      </c>
      <c r="G45" s="26" t="s">
        <v>135</v>
      </c>
      <c r="H45" s="26" t="s">
        <v>80</v>
      </c>
      <c r="I45" s="27"/>
      <c r="J45" s="27">
        <f t="shared" si="14"/>
        <v>4.59</v>
      </c>
      <c r="K45" s="27"/>
      <c r="L45" s="27"/>
      <c r="M45" s="27"/>
      <c r="N45" s="27"/>
      <c r="O45" s="27"/>
      <c r="P45" s="28"/>
      <c r="Q45" s="27">
        <f t="shared" si="13"/>
        <v>4.59</v>
      </c>
      <c r="R45" s="27"/>
      <c r="S45" s="27">
        <f t="shared" si="6"/>
        <v>4.59</v>
      </c>
      <c r="T45" s="27">
        <v>4.59</v>
      </c>
      <c r="U45" s="27">
        <f t="shared" si="7"/>
        <v>0</v>
      </c>
    </row>
    <row r="46" spans="1:22" ht="20.100000000000001" customHeight="1" outlineLevel="1" x14ac:dyDescent="0.2">
      <c r="A46" s="26" t="s">
        <v>327</v>
      </c>
      <c r="B46" s="30">
        <v>431</v>
      </c>
      <c r="C46" s="30" t="str">
        <f t="shared" si="11"/>
        <v>3</v>
      </c>
      <c r="D46" s="30" t="str">
        <f t="shared" si="12"/>
        <v>32</v>
      </c>
      <c r="E46" s="26" t="str">
        <f t="shared" si="9"/>
        <v>322</v>
      </c>
      <c r="F46" s="26" t="s">
        <v>81</v>
      </c>
      <c r="G46" s="26" t="s">
        <v>136</v>
      </c>
      <c r="H46" s="26" t="s">
        <v>83</v>
      </c>
      <c r="I46" s="27">
        <v>33000</v>
      </c>
      <c r="J46" s="27">
        <f t="shared" si="14"/>
        <v>21583.88</v>
      </c>
      <c r="K46" s="27">
        <v>19543.73</v>
      </c>
      <c r="L46" s="27">
        <v>0</v>
      </c>
      <c r="M46" s="27">
        <v>13456.27</v>
      </c>
      <c r="N46" s="27">
        <v>0</v>
      </c>
      <c r="O46" s="27">
        <v>19543.73</v>
      </c>
      <c r="P46" s="28">
        <v>0.40799999999999997</v>
      </c>
      <c r="Q46" s="27">
        <f t="shared" si="13"/>
        <v>21583.88</v>
      </c>
      <c r="R46" s="27"/>
      <c r="S46" s="27">
        <f t="shared" si="6"/>
        <v>21583.88</v>
      </c>
      <c r="T46" s="27">
        <v>21583.88</v>
      </c>
      <c r="U46" s="27">
        <f t="shared" si="7"/>
        <v>0</v>
      </c>
    </row>
    <row r="47" spans="1:22" ht="20.100000000000001" customHeight="1" outlineLevel="1" x14ac:dyDescent="0.2">
      <c r="A47" s="26" t="s">
        <v>327</v>
      </c>
      <c r="B47" s="30">
        <v>431</v>
      </c>
      <c r="C47" s="30" t="str">
        <f t="shared" si="11"/>
        <v>3</v>
      </c>
      <c r="D47" s="30" t="str">
        <f t="shared" si="12"/>
        <v>32</v>
      </c>
      <c r="E47" s="26" t="str">
        <f t="shared" si="9"/>
        <v>322</v>
      </c>
      <c r="F47" s="26" t="s">
        <v>84</v>
      </c>
      <c r="G47" s="26" t="s">
        <v>137</v>
      </c>
      <c r="H47" s="26" t="s">
        <v>86</v>
      </c>
      <c r="I47" s="27">
        <v>5000</v>
      </c>
      <c r="J47" s="27">
        <f t="shared" si="14"/>
        <v>6176.81</v>
      </c>
      <c r="K47" s="27">
        <v>4497.8999999999996</v>
      </c>
      <c r="L47" s="27">
        <v>0</v>
      </c>
      <c r="M47" s="27">
        <v>502.1</v>
      </c>
      <c r="N47" s="27">
        <v>0</v>
      </c>
      <c r="O47" s="27">
        <v>4497.8999999999996</v>
      </c>
      <c r="P47" s="28">
        <v>0.1</v>
      </c>
      <c r="Q47" s="27">
        <f t="shared" si="13"/>
        <v>6176.81</v>
      </c>
      <c r="R47" s="27"/>
      <c r="S47" s="27">
        <f t="shared" si="6"/>
        <v>6176.81</v>
      </c>
      <c r="T47" s="27">
        <v>6176.81</v>
      </c>
      <c r="U47" s="27">
        <f t="shared" si="7"/>
        <v>0</v>
      </c>
    </row>
    <row r="48" spans="1:22" ht="20.100000000000001" customHeight="1" outlineLevel="1" x14ac:dyDescent="0.2">
      <c r="A48" s="26" t="s">
        <v>327</v>
      </c>
      <c r="B48" s="30">
        <v>431</v>
      </c>
      <c r="C48" s="30" t="str">
        <f t="shared" si="11"/>
        <v>3</v>
      </c>
      <c r="D48" s="30" t="str">
        <f t="shared" si="12"/>
        <v>32</v>
      </c>
      <c r="E48" s="26" t="str">
        <f t="shared" si="9"/>
        <v>322</v>
      </c>
      <c r="F48" s="26" t="s">
        <v>138</v>
      </c>
      <c r="G48" s="26" t="s">
        <v>139</v>
      </c>
      <c r="H48" s="26" t="s">
        <v>140</v>
      </c>
      <c r="I48" s="27">
        <v>4000</v>
      </c>
      <c r="J48" s="27">
        <f t="shared" si="14"/>
        <v>2740.27</v>
      </c>
      <c r="K48" s="27">
        <v>4000</v>
      </c>
      <c r="L48" s="27">
        <v>0</v>
      </c>
      <c r="M48" s="27">
        <v>0</v>
      </c>
      <c r="N48" s="27">
        <v>0</v>
      </c>
      <c r="O48" s="27">
        <v>4000</v>
      </c>
      <c r="P48" s="28">
        <v>0</v>
      </c>
      <c r="Q48" s="27">
        <f t="shared" si="13"/>
        <v>2740.27</v>
      </c>
      <c r="R48" s="27"/>
      <c r="S48" s="27">
        <f t="shared" si="6"/>
        <v>2740.27</v>
      </c>
      <c r="T48" s="27">
        <v>2740.27</v>
      </c>
      <c r="U48" s="27">
        <f t="shared" si="7"/>
        <v>0</v>
      </c>
    </row>
    <row r="49" spans="1:21" ht="20.100000000000001" customHeight="1" outlineLevel="1" x14ac:dyDescent="0.2">
      <c r="A49" s="26" t="s">
        <v>327</v>
      </c>
      <c r="B49" s="30">
        <v>431</v>
      </c>
      <c r="C49" s="30" t="str">
        <f t="shared" si="11"/>
        <v>3</v>
      </c>
      <c r="D49" s="30" t="str">
        <f t="shared" si="12"/>
        <v>32</v>
      </c>
      <c r="E49" s="26" t="str">
        <f t="shared" si="9"/>
        <v>323</v>
      </c>
      <c r="F49" s="26" t="s">
        <v>87</v>
      </c>
      <c r="G49" s="26" t="s">
        <v>141</v>
      </c>
      <c r="H49" s="26" t="s">
        <v>89</v>
      </c>
      <c r="I49" s="27">
        <v>86000</v>
      </c>
      <c r="J49" s="27">
        <f t="shared" si="14"/>
        <v>63902.17</v>
      </c>
      <c r="K49" s="27">
        <v>62777.84</v>
      </c>
      <c r="L49" s="27">
        <v>0</v>
      </c>
      <c r="M49" s="27">
        <v>23222.16</v>
      </c>
      <c r="N49" s="27">
        <v>0</v>
      </c>
      <c r="O49" s="27">
        <v>62777.84</v>
      </c>
      <c r="P49" s="28">
        <v>0.27</v>
      </c>
      <c r="Q49" s="27">
        <f t="shared" si="13"/>
        <v>63902.17</v>
      </c>
      <c r="R49" s="27"/>
      <c r="S49" s="27">
        <f t="shared" si="6"/>
        <v>63902.17</v>
      </c>
      <c r="T49" s="27">
        <v>63902.17</v>
      </c>
      <c r="U49" s="27">
        <f t="shared" si="7"/>
        <v>0</v>
      </c>
    </row>
    <row r="50" spans="1:21" ht="20.100000000000001" customHeight="1" outlineLevel="1" x14ac:dyDescent="0.2">
      <c r="A50" s="26" t="s">
        <v>327</v>
      </c>
      <c r="B50" s="30">
        <v>431</v>
      </c>
      <c r="C50" s="30" t="str">
        <f t="shared" si="11"/>
        <v>3</v>
      </c>
      <c r="D50" s="30" t="str">
        <f t="shared" si="12"/>
        <v>32</v>
      </c>
      <c r="E50" s="26" t="str">
        <f t="shared" si="9"/>
        <v>323</v>
      </c>
      <c r="F50" s="26" t="s">
        <v>38</v>
      </c>
      <c r="G50" s="26" t="s">
        <v>142</v>
      </c>
      <c r="H50" s="26" t="s">
        <v>40</v>
      </c>
      <c r="I50" s="27">
        <v>167000</v>
      </c>
      <c r="J50" s="27">
        <f t="shared" si="14"/>
        <v>113611.79</v>
      </c>
      <c r="K50" s="27">
        <v>129975.86</v>
      </c>
      <c r="L50" s="27">
        <v>0</v>
      </c>
      <c r="M50" s="27">
        <v>37024.14</v>
      </c>
      <c r="N50" s="27">
        <v>0</v>
      </c>
      <c r="O50" s="27">
        <v>129975.86</v>
      </c>
      <c r="P50" s="28">
        <v>0.222</v>
      </c>
      <c r="Q50" s="27">
        <f t="shared" si="13"/>
        <v>113611.79</v>
      </c>
      <c r="R50" s="27"/>
      <c r="S50" s="27">
        <f t="shared" si="6"/>
        <v>113611.79</v>
      </c>
      <c r="T50" s="27">
        <v>113611.79</v>
      </c>
      <c r="U50" s="27">
        <f t="shared" si="7"/>
        <v>0</v>
      </c>
    </row>
    <row r="51" spans="1:21" ht="20.100000000000001" customHeight="1" outlineLevel="1" x14ac:dyDescent="0.2">
      <c r="A51" s="26" t="s">
        <v>327</v>
      </c>
      <c r="B51" s="30">
        <v>431</v>
      </c>
      <c r="C51" s="30" t="str">
        <f t="shared" si="11"/>
        <v>3</v>
      </c>
      <c r="D51" s="30" t="str">
        <f t="shared" si="12"/>
        <v>32</v>
      </c>
      <c r="E51" s="26" t="str">
        <f t="shared" si="9"/>
        <v>323</v>
      </c>
      <c r="F51" s="26" t="s">
        <v>91</v>
      </c>
      <c r="G51" s="26" t="s">
        <v>143</v>
      </c>
      <c r="H51" s="26" t="s">
        <v>93</v>
      </c>
      <c r="I51" s="27">
        <v>10000</v>
      </c>
      <c r="J51" s="27">
        <f t="shared" si="14"/>
        <v>778.41</v>
      </c>
      <c r="K51" s="27">
        <v>9675.34</v>
      </c>
      <c r="L51" s="27">
        <v>0</v>
      </c>
      <c r="M51" s="27">
        <v>324.66000000000003</v>
      </c>
      <c r="N51" s="27">
        <v>0</v>
      </c>
      <c r="O51" s="27">
        <v>9675.34</v>
      </c>
      <c r="P51" s="28">
        <v>3.3000000000000002E-2</v>
      </c>
      <c r="Q51" s="27">
        <f t="shared" si="13"/>
        <v>778.41</v>
      </c>
      <c r="R51" s="27"/>
      <c r="S51" s="27">
        <f t="shared" si="6"/>
        <v>778.41</v>
      </c>
      <c r="T51" s="27">
        <v>778.41</v>
      </c>
      <c r="U51" s="27">
        <f t="shared" si="7"/>
        <v>0</v>
      </c>
    </row>
    <row r="52" spans="1:21" ht="20.100000000000001" customHeight="1" outlineLevel="1" x14ac:dyDescent="0.2">
      <c r="A52" s="26" t="s">
        <v>327</v>
      </c>
      <c r="B52" s="30">
        <v>431</v>
      </c>
      <c r="C52" s="30" t="str">
        <f t="shared" si="11"/>
        <v>3</v>
      </c>
      <c r="D52" s="30" t="str">
        <f t="shared" si="12"/>
        <v>32</v>
      </c>
      <c r="E52" s="26" t="str">
        <f t="shared" si="9"/>
        <v>323</v>
      </c>
      <c r="F52" s="26" t="s">
        <v>94</v>
      </c>
      <c r="G52" s="26" t="s">
        <v>144</v>
      </c>
      <c r="H52" s="26" t="s">
        <v>96</v>
      </c>
      <c r="I52" s="27">
        <v>20000</v>
      </c>
      <c r="J52" s="27">
        <f t="shared" si="14"/>
        <v>21849.63</v>
      </c>
      <c r="K52" s="27">
        <v>20000</v>
      </c>
      <c r="L52" s="27">
        <v>0</v>
      </c>
      <c r="M52" s="27">
        <v>0</v>
      </c>
      <c r="N52" s="27">
        <v>0</v>
      </c>
      <c r="O52" s="27">
        <v>20000</v>
      </c>
      <c r="P52" s="28">
        <v>0</v>
      </c>
      <c r="Q52" s="27">
        <f t="shared" si="13"/>
        <v>21849.63</v>
      </c>
      <c r="R52" s="27"/>
      <c r="S52" s="27">
        <f t="shared" si="6"/>
        <v>21849.63</v>
      </c>
      <c r="T52" s="27">
        <v>21849.63</v>
      </c>
      <c r="U52" s="27">
        <f t="shared" si="7"/>
        <v>0</v>
      </c>
    </row>
    <row r="53" spans="1:21" ht="20.100000000000001" customHeight="1" outlineLevel="1" x14ac:dyDescent="0.2">
      <c r="A53" s="26" t="s">
        <v>327</v>
      </c>
      <c r="B53" s="30">
        <v>431</v>
      </c>
      <c r="C53" s="30" t="str">
        <f t="shared" si="11"/>
        <v>3</v>
      </c>
      <c r="D53" s="30" t="str">
        <f t="shared" si="12"/>
        <v>32</v>
      </c>
      <c r="E53" s="26" t="str">
        <f t="shared" si="9"/>
        <v>323</v>
      </c>
      <c r="F53" s="26" t="s">
        <v>97</v>
      </c>
      <c r="G53" s="26" t="s">
        <v>145</v>
      </c>
      <c r="H53" s="26" t="s">
        <v>99</v>
      </c>
      <c r="I53" s="27">
        <v>125000</v>
      </c>
      <c r="J53" s="27">
        <f t="shared" si="14"/>
        <v>94981.1</v>
      </c>
      <c r="K53" s="27">
        <v>35989.43</v>
      </c>
      <c r="L53" s="27">
        <v>0</v>
      </c>
      <c r="M53" s="27">
        <v>89010.57</v>
      </c>
      <c r="N53" s="27">
        <v>0</v>
      </c>
      <c r="O53" s="27">
        <v>35989.43</v>
      </c>
      <c r="P53" s="28">
        <v>0.71199999999999997</v>
      </c>
      <c r="Q53" s="27">
        <f t="shared" si="13"/>
        <v>94981.1</v>
      </c>
      <c r="R53" s="27"/>
      <c r="S53" s="27">
        <f t="shared" si="6"/>
        <v>94981.1</v>
      </c>
      <c r="T53" s="27">
        <v>94981.1</v>
      </c>
      <c r="U53" s="27">
        <f t="shared" si="7"/>
        <v>0</v>
      </c>
    </row>
    <row r="54" spans="1:21" ht="20.100000000000001" customHeight="1" outlineLevel="1" x14ac:dyDescent="0.2">
      <c r="A54" s="26" t="s">
        <v>327</v>
      </c>
      <c r="B54" s="30">
        <v>431</v>
      </c>
      <c r="C54" s="30" t="str">
        <f t="shared" si="11"/>
        <v>3</v>
      </c>
      <c r="D54" s="30" t="str">
        <f t="shared" si="12"/>
        <v>32</v>
      </c>
      <c r="E54" s="26" t="str">
        <f t="shared" si="9"/>
        <v>323</v>
      </c>
      <c r="F54" s="26" t="s">
        <v>100</v>
      </c>
      <c r="G54" s="26" t="s">
        <v>146</v>
      </c>
      <c r="H54" s="26" t="s">
        <v>102</v>
      </c>
      <c r="I54" s="27">
        <v>2000</v>
      </c>
      <c r="J54" s="27">
        <f t="shared" si="14"/>
        <v>468.52</v>
      </c>
      <c r="K54" s="27">
        <v>2000</v>
      </c>
      <c r="L54" s="27">
        <v>0</v>
      </c>
      <c r="M54" s="27">
        <v>0</v>
      </c>
      <c r="N54" s="27">
        <v>0</v>
      </c>
      <c r="O54" s="27">
        <v>2000</v>
      </c>
      <c r="P54" s="28">
        <v>0</v>
      </c>
      <c r="Q54" s="27">
        <f t="shared" si="13"/>
        <v>468.52</v>
      </c>
      <c r="R54" s="27"/>
      <c r="S54" s="27">
        <f t="shared" si="6"/>
        <v>468.52</v>
      </c>
      <c r="T54" s="27">
        <v>468.52</v>
      </c>
      <c r="U54" s="27">
        <f t="shared" si="7"/>
        <v>0</v>
      </c>
    </row>
    <row r="55" spans="1:21" ht="20.100000000000001" customHeight="1" outlineLevel="1" x14ac:dyDescent="0.2">
      <c r="A55" s="26" t="s">
        <v>327</v>
      </c>
      <c r="B55" s="30">
        <v>431</v>
      </c>
      <c r="C55" s="30" t="str">
        <f t="shared" si="11"/>
        <v>3</v>
      </c>
      <c r="D55" s="30" t="str">
        <f t="shared" si="12"/>
        <v>32</v>
      </c>
      <c r="E55" s="26" t="str">
        <f t="shared" si="9"/>
        <v>323</v>
      </c>
      <c r="F55" s="26" t="s">
        <v>41</v>
      </c>
      <c r="G55" s="26" t="s">
        <v>147</v>
      </c>
      <c r="H55" s="26" t="s">
        <v>43</v>
      </c>
      <c r="I55" s="27">
        <v>48600</v>
      </c>
      <c r="J55" s="27">
        <f t="shared" si="14"/>
        <v>40277.14</v>
      </c>
      <c r="K55" s="27">
        <v>34228.79</v>
      </c>
      <c r="L55" s="27">
        <v>0</v>
      </c>
      <c r="M55" s="27">
        <v>14371.21</v>
      </c>
      <c r="N55" s="27">
        <v>0</v>
      </c>
      <c r="O55" s="27">
        <v>34228.79</v>
      </c>
      <c r="P55" s="28">
        <v>0.29599999999999999</v>
      </c>
      <c r="Q55" s="27">
        <f t="shared" si="13"/>
        <v>40277.14</v>
      </c>
      <c r="R55" s="27"/>
      <c r="S55" s="27">
        <f t="shared" si="6"/>
        <v>40277.14</v>
      </c>
      <c r="T55" s="27">
        <v>40277.14</v>
      </c>
      <c r="U55" s="27">
        <f t="shared" si="7"/>
        <v>0</v>
      </c>
    </row>
    <row r="56" spans="1:21" ht="20.100000000000001" customHeight="1" outlineLevel="1" x14ac:dyDescent="0.2">
      <c r="A56" s="26" t="s">
        <v>327</v>
      </c>
      <c r="B56" s="30">
        <v>431</v>
      </c>
      <c r="C56" s="30" t="str">
        <f t="shared" si="11"/>
        <v>3</v>
      </c>
      <c r="D56" s="30" t="str">
        <f t="shared" si="12"/>
        <v>32</v>
      </c>
      <c r="E56" s="26" t="str">
        <f t="shared" si="9"/>
        <v>323</v>
      </c>
      <c r="F56" s="26" t="s">
        <v>104</v>
      </c>
      <c r="G56" s="26" t="s">
        <v>148</v>
      </c>
      <c r="H56" s="26" t="s">
        <v>106</v>
      </c>
      <c r="I56" s="27">
        <v>125000</v>
      </c>
      <c r="J56" s="27">
        <f t="shared" si="14"/>
        <v>117616.62</v>
      </c>
      <c r="K56" s="27">
        <v>86956.17</v>
      </c>
      <c r="L56" s="27">
        <v>0</v>
      </c>
      <c r="M56" s="27">
        <v>38043.83</v>
      </c>
      <c r="N56" s="27">
        <v>0</v>
      </c>
      <c r="O56" s="27">
        <v>86956.17</v>
      </c>
      <c r="P56" s="28">
        <v>0.30399999999999999</v>
      </c>
      <c r="Q56" s="27">
        <f t="shared" si="13"/>
        <v>117616.62</v>
      </c>
      <c r="R56" s="27"/>
      <c r="S56" s="27">
        <f t="shared" si="6"/>
        <v>117616.62</v>
      </c>
      <c r="T56" s="27">
        <v>117616.62</v>
      </c>
      <c r="U56" s="27">
        <f t="shared" si="7"/>
        <v>0</v>
      </c>
    </row>
    <row r="57" spans="1:21" ht="20.100000000000001" customHeight="1" outlineLevel="1" x14ac:dyDescent="0.2">
      <c r="A57" s="26" t="s">
        <v>327</v>
      </c>
      <c r="B57" s="30">
        <v>431</v>
      </c>
      <c r="C57" s="30" t="str">
        <f t="shared" si="11"/>
        <v>3</v>
      </c>
      <c r="D57" s="30" t="str">
        <f t="shared" si="12"/>
        <v>32</v>
      </c>
      <c r="E57" s="26" t="str">
        <f t="shared" si="9"/>
        <v>323</v>
      </c>
      <c r="F57" s="26" t="s">
        <v>126</v>
      </c>
      <c r="G57" s="26" t="s">
        <v>149</v>
      </c>
      <c r="H57" s="26" t="s">
        <v>128</v>
      </c>
      <c r="I57" s="27">
        <v>126200</v>
      </c>
      <c r="J57" s="27">
        <f t="shared" si="14"/>
        <v>152906.18</v>
      </c>
      <c r="K57" s="27">
        <v>70258.44</v>
      </c>
      <c r="L57" s="27">
        <v>0</v>
      </c>
      <c r="M57" s="27">
        <v>55941.56</v>
      </c>
      <c r="N57" s="27">
        <v>0</v>
      </c>
      <c r="O57" s="27">
        <v>70258.44</v>
      </c>
      <c r="P57" s="28">
        <v>0.443</v>
      </c>
      <c r="Q57" s="27">
        <f t="shared" si="13"/>
        <v>152906.18</v>
      </c>
      <c r="R57" s="27"/>
      <c r="S57" s="27">
        <f t="shared" si="6"/>
        <v>152906.18</v>
      </c>
      <c r="T57" s="27">
        <v>152906.18</v>
      </c>
      <c r="U57" s="27">
        <f t="shared" si="7"/>
        <v>0</v>
      </c>
    </row>
    <row r="58" spans="1:21" ht="20.100000000000001" customHeight="1" outlineLevel="1" x14ac:dyDescent="0.2">
      <c r="A58" s="26" t="s">
        <v>327</v>
      </c>
      <c r="B58" s="30">
        <v>431</v>
      </c>
      <c r="C58" s="30" t="str">
        <f t="shared" si="11"/>
        <v>3</v>
      </c>
      <c r="D58" s="30" t="str">
        <f t="shared" si="12"/>
        <v>32</v>
      </c>
      <c r="E58" s="26" t="str">
        <f t="shared" si="9"/>
        <v>324</v>
      </c>
      <c r="F58" s="26" t="s">
        <v>150</v>
      </c>
      <c r="G58" s="26" t="s">
        <v>151</v>
      </c>
      <c r="H58" s="26" t="s">
        <v>152</v>
      </c>
      <c r="I58" s="27">
        <v>500</v>
      </c>
      <c r="J58" s="27">
        <f t="shared" si="14"/>
        <v>0</v>
      </c>
      <c r="K58" s="27">
        <v>500</v>
      </c>
      <c r="L58" s="27">
        <v>0</v>
      </c>
      <c r="M58" s="27">
        <v>0</v>
      </c>
      <c r="N58" s="27">
        <v>0</v>
      </c>
      <c r="O58" s="27">
        <v>500</v>
      </c>
      <c r="P58" s="28">
        <v>0</v>
      </c>
      <c r="Q58" s="27">
        <f t="shared" si="13"/>
        <v>0</v>
      </c>
      <c r="R58" s="27"/>
      <c r="S58" s="27">
        <f t="shared" si="6"/>
        <v>0</v>
      </c>
      <c r="T58" s="27"/>
      <c r="U58" s="27">
        <f t="shared" si="7"/>
        <v>0</v>
      </c>
    </row>
    <row r="59" spans="1:21" ht="20.100000000000001" customHeight="1" outlineLevel="1" x14ac:dyDescent="0.2">
      <c r="A59" s="26" t="s">
        <v>327</v>
      </c>
      <c r="B59" s="30">
        <v>431</v>
      </c>
      <c r="C59" s="30" t="str">
        <f t="shared" si="11"/>
        <v>3</v>
      </c>
      <c r="D59" s="30" t="str">
        <f t="shared" si="12"/>
        <v>32</v>
      </c>
      <c r="E59" s="26" t="str">
        <f t="shared" si="9"/>
        <v>329</v>
      </c>
      <c r="F59" s="26" t="s">
        <v>110</v>
      </c>
      <c r="G59" s="26" t="s">
        <v>153</v>
      </c>
      <c r="H59" s="26" t="s">
        <v>112</v>
      </c>
      <c r="I59" s="27">
        <v>4000</v>
      </c>
      <c r="J59" s="27">
        <f t="shared" si="14"/>
        <v>3858.64</v>
      </c>
      <c r="K59" s="27">
        <v>1076.24</v>
      </c>
      <c r="L59" s="27">
        <v>0</v>
      </c>
      <c r="M59" s="27">
        <v>2923.76</v>
      </c>
      <c r="N59" s="27">
        <v>0</v>
      </c>
      <c r="O59" s="27">
        <v>1076.24</v>
      </c>
      <c r="P59" s="28">
        <v>0.73099999999999998</v>
      </c>
      <c r="Q59" s="27">
        <f t="shared" si="13"/>
        <v>3858.64</v>
      </c>
      <c r="R59" s="27"/>
      <c r="S59" s="27">
        <f t="shared" si="6"/>
        <v>3858.64</v>
      </c>
      <c r="T59" s="27">
        <v>3858.64</v>
      </c>
      <c r="U59" s="27">
        <f t="shared" si="7"/>
        <v>0</v>
      </c>
    </row>
    <row r="60" spans="1:21" ht="20.100000000000001" customHeight="1" outlineLevel="1" x14ac:dyDescent="0.2">
      <c r="A60" s="26" t="s">
        <v>327</v>
      </c>
      <c r="B60" s="30">
        <v>431</v>
      </c>
      <c r="C60" s="30" t="str">
        <f t="shared" si="11"/>
        <v>3</v>
      </c>
      <c r="D60" s="30" t="str">
        <f t="shared" si="12"/>
        <v>32</v>
      </c>
      <c r="E60" s="26" t="str">
        <f t="shared" si="9"/>
        <v>329</v>
      </c>
      <c r="F60" s="26" t="s">
        <v>154</v>
      </c>
      <c r="G60" s="26" t="s">
        <v>155</v>
      </c>
      <c r="H60" s="26" t="s">
        <v>156</v>
      </c>
      <c r="I60" s="27">
        <v>9000</v>
      </c>
      <c r="J60" s="27">
        <f t="shared" si="14"/>
        <v>20831.82</v>
      </c>
      <c r="K60" s="27">
        <v>2949.88</v>
      </c>
      <c r="L60" s="27">
        <v>0</v>
      </c>
      <c r="M60" s="27">
        <v>6050.12</v>
      </c>
      <c r="N60" s="27">
        <v>0</v>
      </c>
      <c r="O60" s="27">
        <v>2949.88</v>
      </c>
      <c r="P60" s="28">
        <v>0.67200000000000004</v>
      </c>
      <c r="Q60" s="27">
        <f t="shared" si="13"/>
        <v>20831.82</v>
      </c>
      <c r="R60" s="27"/>
      <c r="S60" s="27">
        <f t="shared" si="6"/>
        <v>20831.82</v>
      </c>
      <c r="T60" s="27">
        <v>20831.82</v>
      </c>
      <c r="U60" s="27">
        <f t="shared" si="7"/>
        <v>0</v>
      </c>
    </row>
    <row r="61" spans="1:21" ht="20.100000000000001" customHeight="1" outlineLevel="1" x14ac:dyDescent="0.2">
      <c r="A61" s="26" t="s">
        <v>327</v>
      </c>
      <c r="B61" s="30">
        <v>431</v>
      </c>
      <c r="C61" s="30" t="str">
        <f t="shared" si="11"/>
        <v>3</v>
      </c>
      <c r="D61" s="30" t="str">
        <f t="shared" si="12"/>
        <v>32</v>
      </c>
      <c r="E61" s="26" t="str">
        <f t="shared" si="9"/>
        <v>329</v>
      </c>
      <c r="F61" s="26" t="s">
        <v>113</v>
      </c>
      <c r="G61" s="26" t="s">
        <v>157</v>
      </c>
      <c r="H61" s="26" t="s">
        <v>115</v>
      </c>
      <c r="I61" s="27">
        <v>3300</v>
      </c>
      <c r="J61" s="27">
        <f t="shared" si="14"/>
        <v>2984.94</v>
      </c>
      <c r="K61" s="27">
        <v>970.06</v>
      </c>
      <c r="L61" s="27">
        <v>0</v>
      </c>
      <c r="M61" s="27">
        <v>2329.94</v>
      </c>
      <c r="N61" s="27">
        <v>0</v>
      </c>
      <c r="O61" s="27">
        <v>970.06</v>
      </c>
      <c r="P61" s="28">
        <v>0.70599999999999996</v>
      </c>
      <c r="Q61" s="27">
        <f t="shared" si="13"/>
        <v>2984.94</v>
      </c>
      <c r="R61" s="27"/>
      <c r="S61" s="27">
        <f t="shared" si="6"/>
        <v>2984.94</v>
      </c>
      <c r="T61" s="27">
        <v>2984.94</v>
      </c>
      <c r="U61" s="27">
        <f t="shared" si="7"/>
        <v>0</v>
      </c>
    </row>
    <row r="62" spans="1:21" ht="20.100000000000001" customHeight="1" outlineLevel="1" x14ac:dyDescent="0.2">
      <c r="A62" s="26" t="s">
        <v>327</v>
      </c>
      <c r="B62" s="30">
        <v>431</v>
      </c>
      <c r="C62" s="30" t="str">
        <f t="shared" si="11"/>
        <v>3</v>
      </c>
      <c r="D62" s="30" t="str">
        <f t="shared" si="12"/>
        <v>32</v>
      </c>
      <c r="E62" s="26" t="str">
        <f t="shared" si="9"/>
        <v>329</v>
      </c>
      <c r="F62" s="26" t="s">
        <v>116</v>
      </c>
      <c r="G62" s="26" t="s">
        <v>158</v>
      </c>
      <c r="H62" s="26" t="s">
        <v>118</v>
      </c>
      <c r="I62" s="27">
        <v>22500</v>
      </c>
      <c r="J62" s="27">
        <f t="shared" si="14"/>
        <v>5838.5</v>
      </c>
      <c r="K62" s="27">
        <v>12080.94</v>
      </c>
      <c r="L62" s="27">
        <v>0</v>
      </c>
      <c r="M62" s="27">
        <v>10419.06</v>
      </c>
      <c r="N62" s="27">
        <v>0</v>
      </c>
      <c r="O62" s="27">
        <v>12080.94</v>
      </c>
      <c r="P62" s="28">
        <v>0.46300000000000002</v>
      </c>
      <c r="Q62" s="27">
        <f t="shared" si="13"/>
        <v>5838.5</v>
      </c>
      <c r="R62" s="27"/>
      <c r="S62" s="27">
        <f t="shared" si="6"/>
        <v>5838.5</v>
      </c>
      <c r="T62" s="27">
        <v>5838.5</v>
      </c>
      <c r="U62" s="27">
        <f t="shared" si="7"/>
        <v>0</v>
      </c>
    </row>
    <row r="63" spans="1:21" ht="20.100000000000001" customHeight="1" outlineLevel="1" x14ac:dyDescent="0.2">
      <c r="A63" s="26" t="s">
        <v>327</v>
      </c>
      <c r="B63" s="30">
        <v>431</v>
      </c>
      <c r="C63" s="30" t="str">
        <f t="shared" si="11"/>
        <v>3</v>
      </c>
      <c r="D63" s="30" t="str">
        <f t="shared" si="12"/>
        <v>32</v>
      </c>
      <c r="E63" s="26" t="str">
        <f t="shared" si="9"/>
        <v>329</v>
      </c>
      <c r="F63" s="26" t="s">
        <v>159</v>
      </c>
      <c r="G63" s="26" t="s">
        <v>160</v>
      </c>
      <c r="H63" s="26" t="s">
        <v>161</v>
      </c>
      <c r="I63" s="27">
        <v>4000</v>
      </c>
      <c r="J63" s="27">
        <f t="shared" si="14"/>
        <v>4723.58</v>
      </c>
      <c r="K63" s="27">
        <v>2609.9299999999998</v>
      </c>
      <c r="L63" s="27">
        <v>0</v>
      </c>
      <c r="M63" s="27">
        <v>1390.07</v>
      </c>
      <c r="N63" s="27">
        <v>0</v>
      </c>
      <c r="O63" s="27">
        <v>2609.9299999999998</v>
      </c>
      <c r="P63" s="28">
        <v>0.34799999999999998</v>
      </c>
      <c r="Q63" s="27">
        <f t="shared" si="13"/>
        <v>4723.58</v>
      </c>
      <c r="R63" s="27"/>
      <c r="S63" s="27">
        <f t="shared" si="6"/>
        <v>4723.58</v>
      </c>
      <c r="T63" s="27">
        <v>4723.58</v>
      </c>
      <c r="U63" s="27">
        <f t="shared" si="7"/>
        <v>0</v>
      </c>
    </row>
    <row r="64" spans="1:21" ht="20.100000000000001" customHeight="1" outlineLevel="1" x14ac:dyDescent="0.2">
      <c r="A64" s="26" t="s">
        <v>327</v>
      </c>
      <c r="B64" s="30">
        <v>431</v>
      </c>
      <c r="C64" s="30" t="str">
        <f t="shared" si="11"/>
        <v>3</v>
      </c>
      <c r="D64" s="30" t="str">
        <f t="shared" si="12"/>
        <v>34</v>
      </c>
      <c r="E64" s="26" t="str">
        <f t="shared" si="9"/>
        <v>343</v>
      </c>
      <c r="F64" s="26" t="s">
        <v>119</v>
      </c>
      <c r="G64" s="26" t="s">
        <v>162</v>
      </c>
      <c r="H64" s="26" t="s">
        <v>121</v>
      </c>
      <c r="I64" s="27">
        <v>13600</v>
      </c>
      <c r="J64" s="27">
        <f t="shared" si="14"/>
        <v>19637.03</v>
      </c>
      <c r="K64" s="27">
        <v>6633.55</v>
      </c>
      <c r="L64" s="27">
        <v>0</v>
      </c>
      <c r="M64" s="27">
        <v>6966.45</v>
      </c>
      <c r="N64" s="27">
        <v>0</v>
      </c>
      <c r="O64" s="27">
        <v>6633.55</v>
      </c>
      <c r="P64" s="28">
        <v>0.51200000000000001</v>
      </c>
      <c r="Q64" s="27">
        <f t="shared" si="13"/>
        <v>19637.03</v>
      </c>
      <c r="R64" s="27"/>
      <c r="S64" s="27">
        <f t="shared" si="6"/>
        <v>19637.03</v>
      </c>
      <c r="T64" s="27">
        <v>19637.03</v>
      </c>
      <c r="U64" s="27">
        <f t="shared" si="7"/>
        <v>0</v>
      </c>
    </row>
    <row r="65" spans="1:25" ht="20.100000000000001" customHeight="1" outlineLevel="1" x14ac:dyDescent="0.2">
      <c r="A65" s="26" t="s">
        <v>327</v>
      </c>
      <c r="B65" s="30">
        <v>431</v>
      </c>
      <c r="C65" s="30" t="str">
        <f t="shared" si="11"/>
        <v>3</v>
      </c>
      <c r="D65" s="30" t="str">
        <f t="shared" si="12"/>
        <v>34</v>
      </c>
      <c r="E65" s="26" t="str">
        <f t="shared" si="9"/>
        <v>343</v>
      </c>
      <c r="F65" s="26" t="s">
        <v>163</v>
      </c>
      <c r="G65" s="26" t="s">
        <v>164</v>
      </c>
      <c r="H65" s="26" t="s">
        <v>165</v>
      </c>
      <c r="I65" s="27">
        <v>600</v>
      </c>
      <c r="J65" s="27">
        <f t="shared" si="14"/>
        <v>637.32000000000005</v>
      </c>
      <c r="K65" s="27">
        <v>386.09</v>
      </c>
      <c r="L65" s="27">
        <v>0</v>
      </c>
      <c r="M65" s="27">
        <v>213.91</v>
      </c>
      <c r="N65" s="27">
        <v>0</v>
      </c>
      <c r="O65" s="27">
        <v>386.09</v>
      </c>
      <c r="P65" s="28">
        <v>0.35699999999999998</v>
      </c>
      <c r="Q65" s="27">
        <f t="shared" si="13"/>
        <v>637.32000000000005</v>
      </c>
      <c r="R65" s="27"/>
      <c r="S65" s="27">
        <f t="shared" si="6"/>
        <v>637.32000000000005</v>
      </c>
      <c r="T65" s="27">
        <v>637.32000000000005</v>
      </c>
      <c r="U65" s="27">
        <f t="shared" si="7"/>
        <v>0</v>
      </c>
      <c r="W65" s="38" t="s">
        <v>347</v>
      </c>
      <c r="X65" s="38" t="s">
        <v>350</v>
      </c>
      <c r="Y65" s="38" t="s">
        <v>349</v>
      </c>
    </row>
    <row r="66" spans="1:25" ht="20.100000000000001" customHeight="1" x14ac:dyDescent="0.2">
      <c r="F66" s="216" t="s">
        <v>26</v>
      </c>
      <c r="G66" s="216"/>
      <c r="H66" s="216"/>
      <c r="I66" s="52">
        <f>SUMIFS(I67:I235,$A67:$A235,"A212401",$B67:$B235,"521")</f>
        <v>690000</v>
      </c>
      <c r="J66" s="52">
        <f t="shared" ref="J66:U66" si="15">SUMIFS(J67:J235,$A67:$A235,"A212401",$B67:$B235,"521")</f>
        <v>835188.62000000011</v>
      </c>
      <c r="K66" s="52">
        <f t="shared" si="15"/>
        <v>286844.64999999997</v>
      </c>
      <c r="L66" s="52">
        <f t="shared" si="15"/>
        <v>0</v>
      </c>
      <c r="M66" s="52">
        <f t="shared" si="15"/>
        <v>403155.35000000003</v>
      </c>
      <c r="N66" s="52">
        <f t="shared" si="15"/>
        <v>0</v>
      </c>
      <c r="O66" s="52">
        <f t="shared" si="15"/>
        <v>286844.64999999997</v>
      </c>
      <c r="P66" s="53">
        <v>0.58399999999999996</v>
      </c>
      <c r="Q66" s="52">
        <f t="shared" si="15"/>
        <v>835188.62000000011</v>
      </c>
      <c r="R66" s="52">
        <f t="shared" si="15"/>
        <v>0</v>
      </c>
      <c r="S66" s="52">
        <f t="shared" si="15"/>
        <v>835188.62000000011</v>
      </c>
      <c r="T66" s="52">
        <f t="shared" si="15"/>
        <v>835188.62000000011</v>
      </c>
      <c r="U66" s="52">
        <f t="shared" si="15"/>
        <v>0</v>
      </c>
      <c r="V66" s="32"/>
      <c r="W66" s="54">
        <f>SUMIFS(W67:W235,$A67:$A235,"A212401",$B67:$B235,"521")</f>
        <v>178397.38999999998</v>
      </c>
      <c r="X66" s="54">
        <f>SUMIFS(X67:X235,$A67:$A235,"A212401",$B67:$B235,"521")</f>
        <v>643151.68000000005</v>
      </c>
      <c r="Y66" s="54">
        <f>SUMIFS(Y67:Y235,$A67:$A235,"A212401",$B67:$B235,"521")</f>
        <v>13639.55</v>
      </c>
    </row>
    <row r="67" spans="1:25" ht="20.100000000000001" customHeight="1" outlineLevel="1" x14ac:dyDescent="0.2">
      <c r="A67" s="26" t="s">
        <v>327</v>
      </c>
      <c r="B67" s="30">
        <v>521</v>
      </c>
      <c r="C67" s="30" t="str">
        <f t="shared" ref="C67:C94" si="16">LEFT(F67,1)</f>
        <v>3</v>
      </c>
      <c r="D67" s="30" t="str">
        <f t="shared" ref="D67:D94" si="17">LEFT(F67,2)</f>
        <v>31</v>
      </c>
      <c r="E67" s="26" t="str">
        <f t="shared" si="9"/>
        <v>311</v>
      </c>
      <c r="F67" s="26" t="s">
        <v>57</v>
      </c>
      <c r="G67" s="26" t="s">
        <v>166</v>
      </c>
      <c r="H67" s="26" t="s">
        <v>59</v>
      </c>
      <c r="I67" s="27">
        <v>504200</v>
      </c>
      <c r="J67" s="27">
        <f>T67</f>
        <v>608866.72</v>
      </c>
      <c r="K67" s="27">
        <v>217860.92</v>
      </c>
      <c r="L67" s="27">
        <v>0</v>
      </c>
      <c r="M67" s="27">
        <v>286339.08</v>
      </c>
      <c r="N67" s="27">
        <v>0</v>
      </c>
      <c r="O67" s="27">
        <v>217860.92</v>
      </c>
      <c r="P67" s="28">
        <v>0.56799999999999995</v>
      </c>
      <c r="Q67" s="27">
        <f t="shared" ref="Q67:Q94" si="18">J67</f>
        <v>608866.72</v>
      </c>
      <c r="R67" s="27"/>
      <c r="S67" s="27">
        <f t="shared" si="6"/>
        <v>608866.72</v>
      </c>
      <c r="T67" s="27">
        <f>W67+X67+Y67</f>
        <v>608866.72</v>
      </c>
      <c r="U67" s="27">
        <f t="shared" si="7"/>
        <v>0</v>
      </c>
      <c r="W67" s="27">
        <v>145951.35</v>
      </c>
      <c r="X67" s="27">
        <v>462915.37</v>
      </c>
      <c r="Y67" s="27"/>
    </row>
    <row r="68" spans="1:25" ht="20.100000000000001" customHeight="1" outlineLevel="1" x14ac:dyDescent="0.2">
      <c r="A68" s="26" t="s">
        <v>327</v>
      </c>
      <c r="B68" s="30">
        <v>521</v>
      </c>
      <c r="C68" s="30" t="str">
        <f t="shared" si="16"/>
        <v>3</v>
      </c>
      <c r="D68" s="30" t="str">
        <f t="shared" si="17"/>
        <v>31</v>
      </c>
      <c r="E68" s="26" t="str">
        <f t="shared" si="9"/>
        <v>312</v>
      </c>
      <c r="F68" s="26" t="s">
        <v>60</v>
      </c>
      <c r="G68" s="26" t="s">
        <v>167</v>
      </c>
      <c r="H68" s="26" t="s">
        <v>62</v>
      </c>
      <c r="I68" s="27">
        <v>20000</v>
      </c>
      <c r="J68" s="27">
        <f t="shared" ref="J68:J94" si="19">T68</f>
        <v>53176.68</v>
      </c>
      <c r="K68" s="27">
        <v>-14218.71</v>
      </c>
      <c r="L68" s="27">
        <v>0</v>
      </c>
      <c r="M68" s="27">
        <v>34218.71</v>
      </c>
      <c r="N68" s="27">
        <v>0</v>
      </c>
      <c r="O68" s="27">
        <v>-14218.71</v>
      </c>
      <c r="P68" s="28">
        <v>1.7110000000000001</v>
      </c>
      <c r="Q68" s="27">
        <f t="shared" si="18"/>
        <v>53176.68</v>
      </c>
      <c r="R68" s="27"/>
      <c r="S68" s="27">
        <f t="shared" si="6"/>
        <v>53176.68</v>
      </c>
      <c r="T68" s="27">
        <f t="shared" ref="T68:T94" si="20">W68+X68+Y68</f>
        <v>53176.68</v>
      </c>
      <c r="U68" s="27">
        <f t="shared" si="7"/>
        <v>0</v>
      </c>
      <c r="W68" s="27">
        <v>3529.36</v>
      </c>
      <c r="X68" s="27">
        <v>49647.32</v>
      </c>
      <c r="Y68" s="27"/>
    </row>
    <row r="69" spans="1:25" ht="20.100000000000001" customHeight="1" outlineLevel="1" x14ac:dyDescent="0.2">
      <c r="A69" s="26" t="s">
        <v>327</v>
      </c>
      <c r="B69" s="30">
        <v>521</v>
      </c>
      <c r="C69" s="30" t="str">
        <f t="shared" si="16"/>
        <v>3</v>
      </c>
      <c r="D69" s="30" t="str">
        <f t="shared" si="17"/>
        <v>31</v>
      </c>
      <c r="E69" s="26" t="str">
        <f t="shared" si="9"/>
        <v>313</v>
      </c>
      <c r="F69" s="26" t="s">
        <v>63</v>
      </c>
      <c r="G69" s="26" t="s">
        <v>168</v>
      </c>
      <c r="H69" s="26" t="s">
        <v>65</v>
      </c>
      <c r="I69" s="27">
        <v>80300</v>
      </c>
      <c r="J69" s="27">
        <f t="shared" si="19"/>
        <v>99000.89</v>
      </c>
      <c r="K69" s="27">
        <v>32023.87</v>
      </c>
      <c r="L69" s="27">
        <v>0</v>
      </c>
      <c r="M69" s="27">
        <v>48276.13</v>
      </c>
      <c r="N69" s="27">
        <v>0</v>
      </c>
      <c r="O69" s="27">
        <v>32023.87</v>
      </c>
      <c r="P69" s="28">
        <v>0.60099999999999998</v>
      </c>
      <c r="Q69" s="27">
        <f t="shared" si="18"/>
        <v>99000.89</v>
      </c>
      <c r="R69" s="27"/>
      <c r="S69" s="27">
        <f t="shared" si="6"/>
        <v>99000.89</v>
      </c>
      <c r="T69" s="27">
        <f t="shared" si="20"/>
        <v>99000.89</v>
      </c>
      <c r="U69" s="27">
        <f t="shared" si="7"/>
        <v>0</v>
      </c>
      <c r="W69" s="27">
        <v>19844.830000000002</v>
      </c>
      <c r="X69" s="27">
        <v>79156.06</v>
      </c>
      <c r="Y69" s="27"/>
    </row>
    <row r="70" spans="1:25" ht="20.100000000000001" customHeight="1" outlineLevel="1" x14ac:dyDescent="0.2">
      <c r="A70" s="26" t="s">
        <v>327</v>
      </c>
      <c r="B70" s="30">
        <v>521</v>
      </c>
      <c r="C70" s="30" t="str">
        <f t="shared" si="16"/>
        <v>3</v>
      </c>
      <c r="D70" s="30" t="str">
        <f t="shared" si="17"/>
        <v>32</v>
      </c>
      <c r="E70" s="26" t="str">
        <f t="shared" si="9"/>
        <v>321</v>
      </c>
      <c r="F70" s="26" t="s">
        <v>130</v>
      </c>
      <c r="G70" s="26" t="s">
        <v>169</v>
      </c>
      <c r="H70" s="26" t="s">
        <v>132</v>
      </c>
      <c r="I70" s="27">
        <v>1600</v>
      </c>
      <c r="J70" s="27">
        <f t="shared" si="19"/>
        <v>2373.48</v>
      </c>
      <c r="K70" s="27">
        <v>788</v>
      </c>
      <c r="L70" s="27">
        <v>0</v>
      </c>
      <c r="M70" s="27">
        <v>812</v>
      </c>
      <c r="N70" s="27">
        <v>0</v>
      </c>
      <c r="O70" s="27">
        <v>788</v>
      </c>
      <c r="P70" s="28">
        <v>0.50800000000000001</v>
      </c>
      <c r="Q70" s="27">
        <f t="shared" si="18"/>
        <v>2373.48</v>
      </c>
      <c r="R70" s="27"/>
      <c r="S70" s="27">
        <f t="shared" si="6"/>
        <v>2373.48</v>
      </c>
      <c r="T70" s="27">
        <f t="shared" si="20"/>
        <v>2373.48</v>
      </c>
      <c r="U70" s="27">
        <f t="shared" si="7"/>
        <v>0</v>
      </c>
      <c r="W70" s="27">
        <v>2373.48</v>
      </c>
      <c r="X70" s="27"/>
      <c r="Y70" s="27"/>
    </row>
    <row r="71" spans="1:25" ht="20.100000000000001" customHeight="1" outlineLevel="1" x14ac:dyDescent="0.2">
      <c r="A71" s="26" t="s">
        <v>327</v>
      </c>
      <c r="B71" s="30">
        <v>521</v>
      </c>
      <c r="C71" s="30" t="str">
        <f t="shared" si="16"/>
        <v>3</v>
      </c>
      <c r="D71" s="30" t="str">
        <f t="shared" si="17"/>
        <v>32</v>
      </c>
      <c r="E71" s="26" t="str">
        <f t="shared" si="9"/>
        <v>321</v>
      </c>
      <c r="F71" s="26" t="s">
        <v>66</v>
      </c>
      <c r="G71" s="26" t="s">
        <v>170</v>
      </c>
      <c r="H71" s="26" t="s">
        <v>68</v>
      </c>
      <c r="I71" s="27">
        <v>12600</v>
      </c>
      <c r="J71" s="27">
        <f t="shared" si="19"/>
        <v>12083.18</v>
      </c>
      <c r="K71" s="27">
        <v>6514.62</v>
      </c>
      <c r="L71" s="27">
        <v>0</v>
      </c>
      <c r="M71" s="27">
        <v>6085.38</v>
      </c>
      <c r="N71" s="27">
        <v>0</v>
      </c>
      <c r="O71" s="27">
        <v>6514.62</v>
      </c>
      <c r="P71" s="28">
        <v>0.48299999999999998</v>
      </c>
      <c r="Q71" s="27">
        <f t="shared" si="18"/>
        <v>12083.18</v>
      </c>
      <c r="R71" s="27"/>
      <c r="S71" s="27">
        <f t="shared" si="6"/>
        <v>12083.18</v>
      </c>
      <c r="T71" s="27">
        <f t="shared" si="20"/>
        <v>12083.18</v>
      </c>
      <c r="U71" s="27">
        <f t="shared" si="7"/>
        <v>0</v>
      </c>
      <c r="W71" s="27">
        <v>2463.36</v>
      </c>
      <c r="X71" s="27">
        <v>9619.82</v>
      </c>
      <c r="Y71" s="27"/>
    </row>
    <row r="72" spans="1:25" ht="20.100000000000001" customHeight="1" outlineLevel="1" x14ac:dyDescent="0.2">
      <c r="A72" s="26" t="s">
        <v>327</v>
      </c>
      <c r="B72" s="30">
        <v>521</v>
      </c>
      <c r="C72" s="30" t="str">
        <f t="shared" si="16"/>
        <v>3</v>
      </c>
      <c r="D72" s="30" t="str">
        <f t="shared" si="17"/>
        <v>32</v>
      </c>
      <c r="E72" s="26" t="str">
        <f t="shared" si="9"/>
        <v>321</v>
      </c>
      <c r="F72" s="26" t="s">
        <v>69</v>
      </c>
      <c r="G72" s="26" t="s">
        <v>171</v>
      </c>
      <c r="H72" s="26" t="s">
        <v>71</v>
      </c>
      <c r="I72" s="27">
        <v>600</v>
      </c>
      <c r="J72" s="27">
        <f t="shared" si="19"/>
        <v>753.75</v>
      </c>
      <c r="K72" s="27">
        <v>600</v>
      </c>
      <c r="L72" s="27">
        <v>0</v>
      </c>
      <c r="M72" s="27">
        <v>0</v>
      </c>
      <c r="N72" s="27">
        <v>0</v>
      </c>
      <c r="O72" s="27">
        <v>600</v>
      </c>
      <c r="P72" s="28">
        <v>0</v>
      </c>
      <c r="Q72" s="27">
        <f t="shared" si="18"/>
        <v>753.75</v>
      </c>
      <c r="R72" s="27"/>
      <c r="S72" s="27">
        <f t="shared" si="6"/>
        <v>753.75</v>
      </c>
      <c r="T72" s="27">
        <f t="shared" si="20"/>
        <v>753.75</v>
      </c>
      <c r="U72" s="27">
        <f t="shared" si="7"/>
        <v>0</v>
      </c>
      <c r="W72" s="27">
        <v>753.75</v>
      </c>
      <c r="X72" s="27"/>
      <c r="Y72" s="27"/>
    </row>
    <row r="73" spans="1:25" ht="20.100000000000001" customHeight="1" outlineLevel="1" x14ac:dyDescent="0.2">
      <c r="A73" s="26" t="s">
        <v>327</v>
      </c>
      <c r="B73" s="30">
        <v>521</v>
      </c>
      <c r="C73" s="30" t="str">
        <f t="shared" si="16"/>
        <v>3</v>
      </c>
      <c r="D73" s="30" t="str">
        <f t="shared" si="17"/>
        <v>32</v>
      </c>
      <c r="E73" s="26" t="str">
        <f t="shared" si="9"/>
        <v>321</v>
      </c>
      <c r="F73" s="26" t="s">
        <v>172</v>
      </c>
      <c r="G73" s="26" t="s">
        <v>173</v>
      </c>
      <c r="H73" s="26" t="s">
        <v>174</v>
      </c>
      <c r="I73" s="27">
        <v>1000</v>
      </c>
      <c r="J73" s="27">
        <f t="shared" si="19"/>
        <v>829.5</v>
      </c>
      <c r="K73" s="27">
        <v>524</v>
      </c>
      <c r="L73" s="27">
        <v>0</v>
      </c>
      <c r="M73" s="27">
        <v>476</v>
      </c>
      <c r="N73" s="27">
        <v>0</v>
      </c>
      <c r="O73" s="27">
        <v>524</v>
      </c>
      <c r="P73" s="28">
        <v>0.47599999999999998</v>
      </c>
      <c r="Q73" s="27">
        <f t="shared" si="18"/>
        <v>829.5</v>
      </c>
      <c r="R73" s="27"/>
      <c r="S73" s="27">
        <f t="shared" si="6"/>
        <v>829.5</v>
      </c>
      <c r="T73" s="27">
        <f t="shared" si="20"/>
        <v>829.5</v>
      </c>
      <c r="U73" s="27">
        <f t="shared" si="7"/>
        <v>0</v>
      </c>
      <c r="W73" s="27">
        <v>829.5</v>
      </c>
      <c r="X73" s="27"/>
      <c r="Y73" s="27"/>
    </row>
    <row r="74" spans="1:25" ht="20.100000000000001" customHeight="1" outlineLevel="1" x14ac:dyDescent="0.2">
      <c r="A74" s="26" t="s">
        <v>327</v>
      </c>
      <c r="B74" s="30">
        <v>521</v>
      </c>
      <c r="C74" s="30" t="str">
        <f t="shared" si="16"/>
        <v>3</v>
      </c>
      <c r="D74" s="30" t="str">
        <f t="shared" si="17"/>
        <v>32</v>
      </c>
      <c r="E74" s="26" t="str">
        <f t="shared" si="9"/>
        <v>322</v>
      </c>
      <c r="F74" s="26" t="s">
        <v>72</v>
      </c>
      <c r="G74" s="26" t="s">
        <v>175</v>
      </c>
      <c r="H74" s="26" t="s">
        <v>74</v>
      </c>
      <c r="I74" s="27">
        <v>1900</v>
      </c>
      <c r="J74" s="27">
        <f t="shared" si="19"/>
        <v>2334.77</v>
      </c>
      <c r="K74" s="27">
        <v>596</v>
      </c>
      <c r="L74" s="27">
        <v>0</v>
      </c>
      <c r="M74" s="27">
        <v>1304</v>
      </c>
      <c r="N74" s="27">
        <v>0</v>
      </c>
      <c r="O74" s="27">
        <v>596</v>
      </c>
      <c r="P74" s="28">
        <v>0.68600000000000005</v>
      </c>
      <c r="Q74" s="27">
        <f t="shared" si="18"/>
        <v>2334.77</v>
      </c>
      <c r="R74" s="27"/>
      <c r="S74" s="27">
        <f t="shared" si="6"/>
        <v>2334.77</v>
      </c>
      <c r="T74" s="27">
        <f t="shared" si="20"/>
        <v>2334.77</v>
      </c>
      <c r="U74" s="27">
        <f t="shared" si="7"/>
        <v>0</v>
      </c>
      <c r="W74" s="27">
        <v>578.17999999999995</v>
      </c>
      <c r="X74" s="27">
        <v>1756.59</v>
      </c>
      <c r="Y74" s="27"/>
    </row>
    <row r="75" spans="1:25" ht="20.100000000000001" customHeight="1" outlineLevel="1" x14ac:dyDescent="0.2">
      <c r="A75" s="26" t="s">
        <v>327</v>
      </c>
      <c r="B75" s="30">
        <v>521</v>
      </c>
      <c r="C75" s="30" t="str">
        <f t="shared" si="16"/>
        <v>3</v>
      </c>
      <c r="D75" s="30" t="str">
        <f t="shared" si="17"/>
        <v>32</v>
      </c>
      <c r="E75" s="26" t="str">
        <f t="shared" si="9"/>
        <v>322</v>
      </c>
      <c r="F75" s="26" t="s">
        <v>75</v>
      </c>
      <c r="G75" s="26" t="s">
        <v>176</v>
      </c>
      <c r="H75" s="26" t="s">
        <v>77</v>
      </c>
      <c r="I75" s="27">
        <v>1300</v>
      </c>
      <c r="J75" s="27">
        <f t="shared" si="19"/>
        <v>1177.73</v>
      </c>
      <c r="K75" s="27">
        <v>532.84</v>
      </c>
      <c r="L75" s="27">
        <v>0</v>
      </c>
      <c r="M75" s="27">
        <v>767.16</v>
      </c>
      <c r="N75" s="27">
        <v>0</v>
      </c>
      <c r="O75" s="27">
        <v>532.84</v>
      </c>
      <c r="P75" s="28">
        <v>0.59</v>
      </c>
      <c r="Q75" s="27">
        <f t="shared" si="18"/>
        <v>1177.73</v>
      </c>
      <c r="R75" s="27"/>
      <c r="S75" s="27">
        <f t="shared" si="6"/>
        <v>1177.73</v>
      </c>
      <c r="T75" s="27">
        <f t="shared" si="20"/>
        <v>1177.73</v>
      </c>
      <c r="U75" s="27">
        <f t="shared" si="7"/>
        <v>0</v>
      </c>
      <c r="W75" s="27">
        <v>11.93</v>
      </c>
      <c r="X75" s="27">
        <v>1165.8</v>
      </c>
      <c r="Y75" s="27"/>
    </row>
    <row r="76" spans="1:25" ht="20.100000000000001" customHeight="1" outlineLevel="1" x14ac:dyDescent="0.2">
      <c r="A76" s="26" t="s">
        <v>327</v>
      </c>
      <c r="B76" s="30">
        <v>521</v>
      </c>
      <c r="C76" s="30" t="str">
        <f t="shared" si="16"/>
        <v>3</v>
      </c>
      <c r="D76" s="30" t="str">
        <f t="shared" si="17"/>
        <v>32</v>
      </c>
      <c r="E76" s="26" t="str">
        <f t="shared" si="9"/>
        <v>322</v>
      </c>
      <c r="F76" s="26" t="s">
        <v>78</v>
      </c>
      <c r="G76" s="26" t="s">
        <v>177</v>
      </c>
      <c r="H76" s="26" t="s">
        <v>80</v>
      </c>
      <c r="I76" s="27">
        <v>12000</v>
      </c>
      <c r="J76" s="27">
        <f t="shared" si="19"/>
        <v>11589.33</v>
      </c>
      <c r="K76" s="27">
        <v>5423.03</v>
      </c>
      <c r="L76" s="27">
        <v>0</v>
      </c>
      <c r="M76" s="27">
        <v>6576.97</v>
      </c>
      <c r="N76" s="27">
        <v>0</v>
      </c>
      <c r="O76" s="27">
        <v>5423.03</v>
      </c>
      <c r="P76" s="28">
        <v>0.54800000000000004</v>
      </c>
      <c r="Q76" s="27">
        <f t="shared" si="18"/>
        <v>11589.33</v>
      </c>
      <c r="R76" s="27"/>
      <c r="S76" s="27">
        <f t="shared" si="6"/>
        <v>11589.33</v>
      </c>
      <c r="T76" s="27">
        <f t="shared" si="20"/>
        <v>11589.33</v>
      </c>
      <c r="U76" s="27">
        <f t="shared" si="7"/>
        <v>0</v>
      </c>
      <c r="W76" s="27"/>
      <c r="X76" s="27">
        <v>11589.33</v>
      </c>
      <c r="Y76" s="27"/>
    </row>
    <row r="77" spans="1:25" ht="20.100000000000001" customHeight="1" outlineLevel="1" x14ac:dyDescent="0.2">
      <c r="A77" s="26" t="s">
        <v>327</v>
      </c>
      <c r="B77" s="30">
        <v>521</v>
      </c>
      <c r="C77" s="30" t="str">
        <f t="shared" si="16"/>
        <v>3</v>
      </c>
      <c r="D77" s="30" t="str">
        <f t="shared" si="17"/>
        <v>32</v>
      </c>
      <c r="E77" s="26" t="str">
        <f t="shared" si="9"/>
        <v>322</v>
      </c>
      <c r="F77" s="26" t="s">
        <v>81</v>
      </c>
      <c r="G77" s="26" t="s">
        <v>178</v>
      </c>
      <c r="H77" s="26" t="s">
        <v>83</v>
      </c>
      <c r="I77" s="27">
        <v>100</v>
      </c>
      <c r="J77" s="27">
        <f t="shared" si="19"/>
        <v>1121.22</v>
      </c>
      <c r="K77" s="27">
        <v>100</v>
      </c>
      <c r="L77" s="27">
        <v>0</v>
      </c>
      <c r="M77" s="27">
        <v>0</v>
      </c>
      <c r="N77" s="27">
        <v>0</v>
      </c>
      <c r="O77" s="27">
        <v>100</v>
      </c>
      <c r="P77" s="28">
        <v>0</v>
      </c>
      <c r="Q77" s="27">
        <f t="shared" si="18"/>
        <v>1121.22</v>
      </c>
      <c r="R77" s="27"/>
      <c r="S77" s="27">
        <f t="shared" si="6"/>
        <v>1121.22</v>
      </c>
      <c r="T77" s="27">
        <f t="shared" si="20"/>
        <v>1121.22</v>
      </c>
      <c r="U77" s="27">
        <f t="shared" si="7"/>
        <v>0</v>
      </c>
      <c r="W77" s="27"/>
      <c r="X77" s="27">
        <v>1053.1400000000001</v>
      </c>
      <c r="Y77" s="27">
        <v>68.08</v>
      </c>
    </row>
    <row r="78" spans="1:25" ht="20.100000000000001" customHeight="1" outlineLevel="1" x14ac:dyDescent="0.2">
      <c r="A78" s="26" t="s">
        <v>327</v>
      </c>
      <c r="B78" s="30">
        <v>521</v>
      </c>
      <c r="C78" s="30" t="str">
        <f t="shared" si="16"/>
        <v>3</v>
      </c>
      <c r="D78" s="30" t="str">
        <f t="shared" si="17"/>
        <v>32</v>
      </c>
      <c r="E78" s="26" t="str">
        <f t="shared" si="9"/>
        <v>322</v>
      </c>
      <c r="F78" s="26" t="s">
        <v>84</v>
      </c>
      <c r="G78" s="26" t="s">
        <v>179</v>
      </c>
      <c r="H78" s="26" t="s">
        <v>86</v>
      </c>
      <c r="I78" s="27">
        <v>1300</v>
      </c>
      <c r="J78" s="27">
        <f t="shared" si="19"/>
        <v>697.75</v>
      </c>
      <c r="K78" s="27">
        <v>1300</v>
      </c>
      <c r="L78" s="27">
        <v>0</v>
      </c>
      <c r="M78" s="27">
        <v>0</v>
      </c>
      <c r="N78" s="27">
        <v>0</v>
      </c>
      <c r="O78" s="27">
        <v>1300</v>
      </c>
      <c r="P78" s="28">
        <v>0</v>
      </c>
      <c r="Q78" s="27">
        <f t="shared" si="18"/>
        <v>697.75</v>
      </c>
      <c r="R78" s="27"/>
      <c r="S78" s="27">
        <f t="shared" si="6"/>
        <v>697.75</v>
      </c>
      <c r="T78" s="27">
        <f t="shared" si="20"/>
        <v>697.75</v>
      </c>
      <c r="U78" s="27">
        <f t="shared" si="7"/>
        <v>0</v>
      </c>
      <c r="W78" s="27"/>
      <c r="X78" s="27">
        <v>697.75</v>
      </c>
      <c r="Y78" s="27"/>
    </row>
    <row r="79" spans="1:25" ht="20.100000000000001" customHeight="1" outlineLevel="1" x14ac:dyDescent="0.2">
      <c r="A79" s="26" t="s">
        <v>327</v>
      </c>
      <c r="B79" s="30">
        <v>521</v>
      </c>
      <c r="C79" s="30" t="str">
        <f t="shared" si="16"/>
        <v>3</v>
      </c>
      <c r="D79" s="30" t="str">
        <f t="shared" si="17"/>
        <v>32</v>
      </c>
      <c r="E79" s="26" t="str">
        <f t="shared" si="9"/>
        <v>322</v>
      </c>
      <c r="F79" s="26" t="s">
        <v>138</v>
      </c>
      <c r="G79" s="26" t="s">
        <v>180</v>
      </c>
      <c r="H79" s="26" t="s">
        <v>140</v>
      </c>
      <c r="I79" s="27">
        <v>200</v>
      </c>
      <c r="J79" s="27">
        <f t="shared" si="19"/>
        <v>0</v>
      </c>
      <c r="K79" s="27">
        <v>200</v>
      </c>
      <c r="L79" s="27">
        <v>0</v>
      </c>
      <c r="M79" s="27">
        <v>0</v>
      </c>
      <c r="N79" s="27">
        <v>0</v>
      </c>
      <c r="O79" s="27">
        <v>200</v>
      </c>
      <c r="P79" s="28">
        <v>0</v>
      </c>
      <c r="Q79" s="27">
        <f t="shared" si="18"/>
        <v>0</v>
      </c>
      <c r="R79" s="27"/>
      <c r="S79" s="27">
        <f t="shared" si="6"/>
        <v>0</v>
      </c>
      <c r="T79" s="27">
        <f t="shared" si="20"/>
        <v>0</v>
      </c>
      <c r="U79" s="27">
        <f t="shared" si="7"/>
        <v>0</v>
      </c>
      <c r="W79" s="27"/>
      <c r="X79" s="27"/>
      <c r="Y79" s="27"/>
    </row>
    <row r="80" spans="1:25" ht="20.100000000000001" customHeight="1" outlineLevel="1" x14ac:dyDescent="0.2">
      <c r="A80" s="26" t="s">
        <v>327</v>
      </c>
      <c r="B80" s="30">
        <v>521</v>
      </c>
      <c r="C80" s="30" t="str">
        <f t="shared" si="16"/>
        <v>3</v>
      </c>
      <c r="D80" s="30" t="str">
        <f t="shared" si="17"/>
        <v>32</v>
      </c>
      <c r="E80" s="26" t="str">
        <f t="shared" si="9"/>
        <v>323</v>
      </c>
      <c r="F80" s="26" t="s">
        <v>87</v>
      </c>
      <c r="G80" s="26" t="s">
        <v>181</v>
      </c>
      <c r="H80" s="26" t="s">
        <v>89</v>
      </c>
      <c r="I80" s="27">
        <v>4000</v>
      </c>
      <c r="J80" s="27">
        <f t="shared" si="19"/>
        <v>2336.14</v>
      </c>
      <c r="K80" s="27">
        <v>3427.87</v>
      </c>
      <c r="L80" s="27">
        <v>0</v>
      </c>
      <c r="M80" s="27">
        <v>572.13</v>
      </c>
      <c r="N80" s="27">
        <v>0</v>
      </c>
      <c r="O80" s="27">
        <v>3427.87</v>
      </c>
      <c r="P80" s="28">
        <v>0.14299999999999999</v>
      </c>
      <c r="Q80" s="27">
        <f t="shared" si="18"/>
        <v>2336.14</v>
      </c>
      <c r="R80" s="27"/>
      <c r="S80" s="27">
        <f t="shared" ref="S80:S94" si="21">R80+Q80</f>
        <v>2336.14</v>
      </c>
      <c r="T80" s="27">
        <f t="shared" si="20"/>
        <v>2336.14</v>
      </c>
      <c r="U80" s="27">
        <f t="shared" ref="U80:U94" si="22">S80-T80</f>
        <v>0</v>
      </c>
      <c r="W80" s="27">
        <v>61.67</v>
      </c>
      <c r="X80" s="27">
        <v>2274.4699999999998</v>
      </c>
      <c r="Y80" s="27"/>
    </row>
    <row r="81" spans="1:25" ht="20.100000000000001" customHeight="1" outlineLevel="1" x14ac:dyDescent="0.2">
      <c r="A81" s="26" t="s">
        <v>327</v>
      </c>
      <c r="B81" s="30">
        <v>521</v>
      </c>
      <c r="C81" s="30" t="str">
        <f t="shared" si="16"/>
        <v>3</v>
      </c>
      <c r="D81" s="30" t="str">
        <f t="shared" si="17"/>
        <v>32</v>
      </c>
      <c r="E81" s="26" t="str">
        <f t="shared" si="9"/>
        <v>323</v>
      </c>
      <c r="F81" s="26" t="s">
        <v>38</v>
      </c>
      <c r="G81" s="26" t="s">
        <v>182</v>
      </c>
      <c r="H81" s="26" t="s">
        <v>40</v>
      </c>
      <c r="I81" s="27">
        <v>22300</v>
      </c>
      <c r="J81" s="27">
        <f t="shared" si="19"/>
        <v>16693.419999999998</v>
      </c>
      <c r="K81" s="27">
        <v>14607.45</v>
      </c>
      <c r="L81" s="27">
        <v>0</v>
      </c>
      <c r="M81" s="27">
        <v>7692.55</v>
      </c>
      <c r="N81" s="27">
        <v>0</v>
      </c>
      <c r="O81" s="27">
        <v>14607.45</v>
      </c>
      <c r="P81" s="28">
        <v>0.34499999999999997</v>
      </c>
      <c r="Q81" s="27">
        <f t="shared" si="18"/>
        <v>16693.419999999998</v>
      </c>
      <c r="R81" s="27"/>
      <c r="S81" s="27">
        <f t="shared" si="21"/>
        <v>16693.419999999998</v>
      </c>
      <c r="T81" s="27">
        <f t="shared" si="20"/>
        <v>16693.419999999998</v>
      </c>
      <c r="U81" s="27">
        <f t="shared" si="22"/>
        <v>0</v>
      </c>
      <c r="W81" s="27"/>
      <c r="X81" s="27">
        <v>7921.78</v>
      </c>
      <c r="Y81" s="27">
        <v>8771.64</v>
      </c>
    </row>
    <row r="82" spans="1:25" ht="20.100000000000001" customHeight="1" outlineLevel="1" x14ac:dyDescent="0.2">
      <c r="A82" s="26" t="s">
        <v>327</v>
      </c>
      <c r="B82" s="30">
        <v>521</v>
      </c>
      <c r="C82" s="30" t="str">
        <f t="shared" si="16"/>
        <v>3</v>
      </c>
      <c r="D82" s="30" t="str">
        <f t="shared" si="17"/>
        <v>32</v>
      </c>
      <c r="E82" s="26" t="str">
        <f t="shared" si="9"/>
        <v>323</v>
      </c>
      <c r="F82" s="26" t="s">
        <v>94</v>
      </c>
      <c r="G82" s="26" t="s">
        <v>183</v>
      </c>
      <c r="H82" s="26" t="s">
        <v>96</v>
      </c>
      <c r="I82" s="27">
        <v>8700</v>
      </c>
      <c r="J82" s="27">
        <f t="shared" si="19"/>
        <v>9361.1200000000008</v>
      </c>
      <c r="K82" s="27">
        <v>4777.29</v>
      </c>
      <c r="L82" s="27">
        <v>0</v>
      </c>
      <c r="M82" s="27">
        <v>3922.71</v>
      </c>
      <c r="N82" s="27">
        <v>0</v>
      </c>
      <c r="O82" s="27">
        <v>4777.29</v>
      </c>
      <c r="P82" s="28">
        <v>0.45100000000000001</v>
      </c>
      <c r="Q82" s="27">
        <f t="shared" si="18"/>
        <v>9361.1200000000008</v>
      </c>
      <c r="R82" s="27"/>
      <c r="S82" s="27">
        <f t="shared" si="21"/>
        <v>9361.1200000000008</v>
      </c>
      <c r="T82" s="27">
        <f t="shared" si="20"/>
        <v>9361.1200000000008</v>
      </c>
      <c r="U82" s="27">
        <f t="shared" si="22"/>
        <v>0</v>
      </c>
      <c r="W82" s="27"/>
      <c r="X82" s="27">
        <v>9361.1200000000008</v>
      </c>
      <c r="Y82" s="27"/>
    </row>
    <row r="83" spans="1:25" ht="20.100000000000001" customHeight="1" outlineLevel="1" x14ac:dyDescent="0.2">
      <c r="A83" s="26" t="s">
        <v>327</v>
      </c>
      <c r="B83" s="30">
        <v>521</v>
      </c>
      <c r="C83" s="30" t="str">
        <f t="shared" si="16"/>
        <v>3</v>
      </c>
      <c r="D83" s="30" t="str">
        <f t="shared" si="17"/>
        <v>32</v>
      </c>
      <c r="E83" s="26" t="str">
        <f t="shared" si="9"/>
        <v>323</v>
      </c>
      <c r="F83" s="26" t="s">
        <v>97</v>
      </c>
      <c r="G83" s="26" t="s">
        <v>184</v>
      </c>
      <c r="H83" s="26" t="s">
        <v>99</v>
      </c>
      <c r="I83" s="27">
        <v>600</v>
      </c>
      <c r="J83" s="27">
        <f t="shared" si="19"/>
        <v>3651</v>
      </c>
      <c r="K83" s="27">
        <v>-1209.25</v>
      </c>
      <c r="L83" s="27">
        <v>0</v>
      </c>
      <c r="M83" s="27">
        <v>1809.25</v>
      </c>
      <c r="N83" s="27">
        <v>0</v>
      </c>
      <c r="O83" s="27">
        <v>-1209.25</v>
      </c>
      <c r="P83" s="28">
        <v>3.0150000000000001</v>
      </c>
      <c r="Q83" s="27">
        <f t="shared" si="18"/>
        <v>3651</v>
      </c>
      <c r="R83" s="27"/>
      <c r="S83" s="27">
        <f t="shared" si="21"/>
        <v>3651</v>
      </c>
      <c r="T83" s="27">
        <f t="shared" si="20"/>
        <v>3651</v>
      </c>
      <c r="U83" s="27">
        <f t="shared" si="22"/>
        <v>0</v>
      </c>
      <c r="W83" s="27"/>
      <c r="X83" s="27"/>
      <c r="Y83" s="27">
        <v>3651</v>
      </c>
    </row>
    <row r="84" spans="1:25" ht="20.100000000000001" customHeight="1" outlineLevel="1" x14ac:dyDescent="0.2">
      <c r="A84" s="26" t="s">
        <v>327</v>
      </c>
      <c r="B84" s="30">
        <v>521</v>
      </c>
      <c r="C84" s="30" t="str">
        <f t="shared" si="16"/>
        <v>3</v>
      </c>
      <c r="D84" s="30" t="str">
        <f t="shared" si="17"/>
        <v>32</v>
      </c>
      <c r="E84" s="26" t="str">
        <f t="shared" si="9"/>
        <v>323</v>
      </c>
      <c r="F84" s="26" t="s">
        <v>100</v>
      </c>
      <c r="G84" s="26" t="s">
        <v>185</v>
      </c>
      <c r="H84" s="26" t="s">
        <v>102</v>
      </c>
      <c r="I84" s="27">
        <v>700</v>
      </c>
      <c r="J84" s="27">
        <f t="shared" si="19"/>
        <v>0</v>
      </c>
      <c r="K84" s="27">
        <v>700</v>
      </c>
      <c r="L84" s="27">
        <v>0</v>
      </c>
      <c r="M84" s="27">
        <v>0</v>
      </c>
      <c r="N84" s="27">
        <v>0</v>
      </c>
      <c r="O84" s="27">
        <v>700</v>
      </c>
      <c r="P84" s="28">
        <v>0</v>
      </c>
      <c r="Q84" s="27">
        <f t="shared" si="18"/>
        <v>0</v>
      </c>
      <c r="R84" s="27"/>
      <c r="S84" s="27">
        <f t="shared" si="21"/>
        <v>0</v>
      </c>
      <c r="T84" s="27">
        <f t="shared" si="20"/>
        <v>0</v>
      </c>
      <c r="U84" s="27">
        <f t="shared" si="22"/>
        <v>0</v>
      </c>
      <c r="W84" s="27"/>
      <c r="X84" s="27"/>
      <c r="Y84" s="27"/>
    </row>
    <row r="85" spans="1:25" ht="20.100000000000001" customHeight="1" outlineLevel="1" x14ac:dyDescent="0.2">
      <c r="A85" s="26" t="s">
        <v>327</v>
      </c>
      <c r="B85" s="30">
        <v>521</v>
      </c>
      <c r="C85" s="30" t="str">
        <f t="shared" si="16"/>
        <v>3</v>
      </c>
      <c r="D85" s="30" t="str">
        <f t="shared" si="17"/>
        <v>32</v>
      </c>
      <c r="E85" s="26" t="str">
        <f t="shared" si="9"/>
        <v>323</v>
      </c>
      <c r="F85" s="26" t="s">
        <v>41</v>
      </c>
      <c r="G85" s="26" t="s">
        <v>186</v>
      </c>
      <c r="H85" s="26" t="s">
        <v>43</v>
      </c>
      <c r="I85" s="27">
        <v>600</v>
      </c>
      <c r="J85" s="27">
        <f t="shared" si="19"/>
        <v>740</v>
      </c>
      <c r="K85" s="27">
        <v>600</v>
      </c>
      <c r="L85" s="27">
        <v>0</v>
      </c>
      <c r="M85" s="27">
        <v>0</v>
      </c>
      <c r="N85" s="27">
        <v>0</v>
      </c>
      <c r="O85" s="27">
        <v>600</v>
      </c>
      <c r="P85" s="28">
        <v>0</v>
      </c>
      <c r="Q85" s="27">
        <f t="shared" si="18"/>
        <v>740</v>
      </c>
      <c r="R85" s="27"/>
      <c r="S85" s="27">
        <f t="shared" si="21"/>
        <v>740</v>
      </c>
      <c r="T85" s="27">
        <f t="shared" si="20"/>
        <v>740</v>
      </c>
      <c r="U85" s="27">
        <f t="shared" si="22"/>
        <v>0</v>
      </c>
      <c r="W85" s="27">
        <v>740</v>
      </c>
      <c r="X85" s="27"/>
      <c r="Y85" s="27"/>
    </row>
    <row r="86" spans="1:25" ht="20.100000000000001" customHeight="1" outlineLevel="1" x14ac:dyDescent="0.2">
      <c r="A86" s="26" t="s">
        <v>327</v>
      </c>
      <c r="B86" s="30">
        <v>521</v>
      </c>
      <c r="C86" s="30" t="str">
        <f t="shared" si="16"/>
        <v>3</v>
      </c>
      <c r="D86" s="30" t="str">
        <f t="shared" si="17"/>
        <v>32</v>
      </c>
      <c r="E86" s="26" t="str">
        <f t="shared" si="9"/>
        <v>323</v>
      </c>
      <c r="F86" s="26" t="s">
        <v>104</v>
      </c>
      <c r="G86" s="26" t="s">
        <v>187</v>
      </c>
      <c r="H86" s="26" t="s">
        <v>106</v>
      </c>
      <c r="I86" s="27">
        <v>5400</v>
      </c>
      <c r="J86" s="27">
        <f t="shared" si="19"/>
        <v>123.55</v>
      </c>
      <c r="K86" s="27">
        <v>5276.45</v>
      </c>
      <c r="L86" s="27">
        <v>0</v>
      </c>
      <c r="M86" s="27">
        <v>123.55</v>
      </c>
      <c r="N86" s="27">
        <v>0</v>
      </c>
      <c r="O86" s="27">
        <v>5276.45</v>
      </c>
      <c r="P86" s="28">
        <v>2.3E-2</v>
      </c>
      <c r="Q86" s="27">
        <f t="shared" si="18"/>
        <v>123.55</v>
      </c>
      <c r="R86" s="27"/>
      <c r="S86" s="27">
        <f t="shared" si="21"/>
        <v>123.55</v>
      </c>
      <c r="T86" s="27">
        <f t="shared" si="20"/>
        <v>123.55</v>
      </c>
      <c r="U86" s="27">
        <f t="shared" si="22"/>
        <v>0</v>
      </c>
      <c r="W86" s="27"/>
      <c r="X86" s="27">
        <v>123.55</v>
      </c>
      <c r="Y86" s="27"/>
    </row>
    <row r="87" spans="1:25" ht="20.100000000000001" customHeight="1" outlineLevel="1" x14ac:dyDescent="0.2">
      <c r="A87" s="26" t="s">
        <v>327</v>
      </c>
      <c r="B87" s="30">
        <v>521</v>
      </c>
      <c r="C87" s="30" t="str">
        <f t="shared" si="16"/>
        <v>3</v>
      </c>
      <c r="D87" s="30" t="str">
        <f t="shared" si="17"/>
        <v>32</v>
      </c>
      <c r="E87" s="26" t="str">
        <f t="shared" si="9"/>
        <v>323</v>
      </c>
      <c r="F87" s="26" t="s">
        <v>126</v>
      </c>
      <c r="G87" s="26" t="s">
        <v>188</v>
      </c>
      <c r="H87" s="26" t="s">
        <v>128</v>
      </c>
      <c r="I87" s="27">
        <v>2700</v>
      </c>
      <c r="J87" s="27">
        <f t="shared" si="19"/>
        <v>4915.34</v>
      </c>
      <c r="K87" s="27">
        <v>918.66</v>
      </c>
      <c r="L87" s="27">
        <v>0</v>
      </c>
      <c r="M87" s="27">
        <v>1781.34</v>
      </c>
      <c r="N87" s="27">
        <v>0</v>
      </c>
      <c r="O87" s="27">
        <v>918.66</v>
      </c>
      <c r="P87" s="28">
        <v>0.66</v>
      </c>
      <c r="Q87" s="27">
        <f t="shared" si="18"/>
        <v>4915.34</v>
      </c>
      <c r="R87" s="27"/>
      <c r="S87" s="27">
        <f t="shared" si="21"/>
        <v>4915.34</v>
      </c>
      <c r="T87" s="27">
        <f t="shared" si="20"/>
        <v>4915.34</v>
      </c>
      <c r="U87" s="27">
        <f t="shared" si="22"/>
        <v>0</v>
      </c>
      <c r="W87" s="27">
        <v>97.5</v>
      </c>
      <c r="X87" s="27">
        <v>3669.01</v>
      </c>
      <c r="Y87" s="27">
        <v>1148.83</v>
      </c>
    </row>
    <row r="88" spans="1:25" ht="20.100000000000001" customHeight="1" outlineLevel="1" x14ac:dyDescent="0.2">
      <c r="A88" s="26" t="s">
        <v>327</v>
      </c>
      <c r="B88" s="30">
        <v>521</v>
      </c>
      <c r="C88" s="30" t="str">
        <f t="shared" si="16"/>
        <v>3</v>
      </c>
      <c r="D88" s="30" t="str">
        <f t="shared" si="17"/>
        <v>32</v>
      </c>
      <c r="E88" s="26" t="str">
        <f t="shared" si="9"/>
        <v>329</v>
      </c>
      <c r="F88" s="26" t="s">
        <v>110</v>
      </c>
      <c r="G88" s="26" t="s">
        <v>189</v>
      </c>
      <c r="H88" s="26" t="s">
        <v>112</v>
      </c>
      <c r="I88" s="27">
        <v>1600</v>
      </c>
      <c r="J88" s="27">
        <f t="shared" si="19"/>
        <v>1668.05</v>
      </c>
      <c r="K88" s="27">
        <v>-68.05</v>
      </c>
      <c r="L88" s="27">
        <v>0</v>
      </c>
      <c r="M88" s="27">
        <v>1668.05</v>
      </c>
      <c r="N88" s="27">
        <v>0</v>
      </c>
      <c r="O88" s="27">
        <v>-68.05</v>
      </c>
      <c r="P88" s="28">
        <v>1.0429999999999999</v>
      </c>
      <c r="Q88" s="27">
        <f t="shared" si="18"/>
        <v>1668.05</v>
      </c>
      <c r="R88" s="27"/>
      <c r="S88" s="27">
        <f t="shared" si="21"/>
        <v>1668.05</v>
      </c>
      <c r="T88" s="27">
        <f t="shared" si="20"/>
        <v>1668.05</v>
      </c>
      <c r="U88" s="27">
        <f t="shared" si="22"/>
        <v>0</v>
      </c>
      <c r="W88" s="27"/>
      <c r="X88" s="27">
        <v>1668.05</v>
      </c>
      <c r="Y88" s="27"/>
    </row>
    <row r="89" spans="1:25" ht="20.100000000000001" customHeight="1" outlineLevel="1" x14ac:dyDescent="0.2">
      <c r="A89" s="26" t="s">
        <v>327</v>
      </c>
      <c r="B89" s="30">
        <v>521</v>
      </c>
      <c r="C89" s="30" t="str">
        <f t="shared" si="16"/>
        <v>3</v>
      </c>
      <c r="D89" s="30" t="str">
        <f t="shared" si="17"/>
        <v>32</v>
      </c>
      <c r="E89" s="26" t="str">
        <f t="shared" si="9"/>
        <v>329</v>
      </c>
      <c r="F89" s="26" t="s">
        <v>154</v>
      </c>
      <c r="G89" s="26" t="s">
        <v>190</v>
      </c>
      <c r="H89" s="26" t="s">
        <v>156</v>
      </c>
      <c r="I89" s="27">
        <v>800</v>
      </c>
      <c r="J89" s="27">
        <f t="shared" si="19"/>
        <v>1319.6100000000001</v>
      </c>
      <c r="K89" s="27">
        <v>237.54</v>
      </c>
      <c r="L89" s="27">
        <v>0</v>
      </c>
      <c r="M89" s="27">
        <v>562.46</v>
      </c>
      <c r="N89" s="27">
        <v>0</v>
      </c>
      <c r="O89" s="27">
        <v>237.54</v>
      </c>
      <c r="P89" s="28">
        <v>0.70299999999999996</v>
      </c>
      <c r="Q89" s="27">
        <f t="shared" si="18"/>
        <v>1319.6100000000001</v>
      </c>
      <c r="R89" s="27"/>
      <c r="S89" s="27">
        <f t="shared" si="21"/>
        <v>1319.6100000000001</v>
      </c>
      <c r="T89" s="27">
        <f t="shared" si="20"/>
        <v>1319.6100000000001</v>
      </c>
      <c r="U89" s="27">
        <f t="shared" si="22"/>
        <v>0</v>
      </c>
      <c r="W89" s="27">
        <v>1162.48</v>
      </c>
      <c r="X89" s="27">
        <v>157.13</v>
      </c>
      <c r="Y89" s="27"/>
    </row>
    <row r="90" spans="1:25" ht="20.100000000000001" customHeight="1" outlineLevel="1" x14ac:dyDescent="0.2">
      <c r="A90" s="26" t="s">
        <v>327</v>
      </c>
      <c r="B90" s="30">
        <v>521</v>
      </c>
      <c r="C90" s="30" t="str">
        <f t="shared" si="16"/>
        <v>3</v>
      </c>
      <c r="D90" s="30" t="str">
        <f t="shared" si="17"/>
        <v>32</v>
      </c>
      <c r="E90" s="26" t="str">
        <f t="shared" si="9"/>
        <v>329</v>
      </c>
      <c r="F90" s="26" t="s">
        <v>113</v>
      </c>
      <c r="G90" s="26" t="s">
        <v>191</v>
      </c>
      <c r="H90" s="26" t="s">
        <v>115</v>
      </c>
      <c r="I90" s="27">
        <v>0</v>
      </c>
      <c r="J90" s="27">
        <f t="shared" si="19"/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8">
        <v>0</v>
      </c>
      <c r="Q90" s="27">
        <f t="shared" si="18"/>
        <v>0</v>
      </c>
      <c r="R90" s="27"/>
      <c r="S90" s="27">
        <f t="shared" si="21"/>
        <v>0</v>
      </c>
      <c r="T90" s="27">
        <f t="shared" si="20"/>
        <v>0</v>
      </c>
      <c r="U90" s="27">
        <f t="shared" si="22"/>
        <v>0</v>
      </c>
      <c r="W90" s="27"/>
      <c r="X90" s="27"/>
      <c r="Y90" s="27"/>
    </row>
    <row r="91" spans="1:25" ht="20.100000000000001" customHeight="1" outlineLevel="1" x14ac:dyDescent="0.2">
      <c r="A91" s="26" t="s">
        <v>327</v>
      </c>
      <c r="B91" s="30">
        <v>521</v>
      </c>
      <c r="C91" s="30" t="str">
        <f t="shared" si="16"/>
        <v>3</v>
      </c>
      <c r="D91" s="30" t="str">
        <f t="shared" si="17"/>
        <v>32</v>
      </c>
      <c r="E91" s="26" t="str">
        <f t="shared" si="9"/>
        <v>329</v>
      </c>
      <c r="F91" s="26" t="s">
        <v>116</v>
      </c>
      <c r="G91" s="26" t="s">
        <v>192</v>
      </c>
      <c r="H91" s="26" t="s">
        <v>118</v>
      </c>
      <c r="I91" s="27">
        <v>600</v>
      </c>
      <c r="J91" s="27">
        <f t="shared" si="19"/>
        <v>307.83999999999997</v>
      </c>
      <c r="K91" s="27">
        <v>472.62</v>
      </c>
      <c r="L91" s="27">
        <v>0</v>
      </c>
      <c r="M91" s="27">
        <v>127.38</v>
      </c>
      <c r="N91" s="27">
        <v>0</v>
      </c>
      <c r="O91" s="27">
        <v>472.62</v>
      </c>
      <c r="P91" s="28">
        <v>0.21199999999999999</v>
      </c>
      <c r="Q91" s="27">
        <f t="shared" si="18"/>
        <v>307.83999999999997</v>
      </c>
      <c r="R91" s="27"/>
      <c r="S91" s="27">
        <f t="shared" si="21"/>
        <v>307.83999999999997</v>
      </c>
      <c r="T91" s="27">
        <f t="shared" si="20"/>
        <v>307.83999999999997</v>
      </c>
      <c r="U91" s="27">
        <f t="shared" si="22"/>
        <v>0</v>
      </c>
      <c r="W91" s="27"/>
      <c r="X91" s="27">
        <v>307.83999999999997</v>
      </c>
      <c r="Y91" s="27"/>
    </row>
    <row r="92" spans="1:25" ht="20.100000000000001" customHeight="1" outlineLevel="1" x14ac:dyDescent="0.2">
      <c r="A92" s="26" t="s">
        <v>327</v>
      </c>
      <c r="B92" s="30">
        <v>521</v>
      </c>
      <c r="C92" s="30" t="str">
        <f t="shared" si="16"/>
        <v>3</v>
      </c>
      <c r="D92" s="30" t="str">
        <f t="shared" si="17"/>
        <v>32</v>
      </c>
      <c r="E92" s="26" t="str">
        <f t="shared" si="9"/>
        <v>329</v>
      </c>
      <c r="F92" s="26" t="s">
        <v>159</v>
      </c>
      <c r="G92" s="26" t="s">
        <v>193</v>
      </c>
      <c r="H92" s="26" t="s">
        <v>161</v>
      </c>
      <c r="I92" s="27">
        <v>2000</v>
      </c>
      <c r="J92" s="27">
        <f t="shared" si="19"/>
        <v>45</v>
      </c>
      <c r="K92" s="27">
        <v>1959.5</v>
      </c>
      <c r="L92" s="27">
        <v>0</v>
      </c>
      <c r="M92" s="27">
        <v>40.5</v>
      </c>
      <c r="N92" s="27">
        <v>0</v>
      </c>
      <c r="O92" s="27">
        <v>1959.5</v>
      </c>
      <c r="P92" s="28">
        <v>0.02</v>
      </c>
      <c r="Q92" s="27">
        <f t="shared" si="18"/>
        <v>45</v>
      </c>
      <c r="R92" s="27"/>
      <c r="S92" s="27">
        <f t="shared" si="21"/>
        <v>45</v>
      </c>
      <c r="T92" s="27">
        <f t="shared" si="20"/>
        <v>45</v>
      </c>
      <c r="U92" s="27">
        <f t="shared" si="22"/>
        <v>0</v>
      </c>
      <c r="W92" s="27"/>
      <c r="X92" s="27">
        <v>45</v>
      </c>
      <c r="Y92" s="27"/>
    </row>
    <row r="93" spans="1:25" ht="20.100000000000001" customHeight="1" outlineLevel="1" x14ac:dyDescent="0.2">
      <c r="A93" s="26" t="s">
        <v>327</v>
      </c>
      <c r="B93" s="30">
        <v>521</v>
      </c>
      <c r="C93" s="30" t="str">
        <f t="shared" si="16"/>
        <v>3</v>
      </c>
      <c r="D93" s="30" t="str">
        <f t="shared" si="17"/>
        <v>34</v>
      </c>
      <c r="E93" s="26" t="str">
        <f t="shared" si="9"/>
        <v>343</v>
      </c>
      <c r="F93" s="26" t="s">
        <v>119</v>
      </c>
      <c r="G93" s="26" t="s">
        <v>194</v>
      </c>
      <c r="H93" s="26" t="s">
        <v>121</v>
      </c>
      <c r="I93" s="27">
        <v>2700</v>
      </c>
      <c r="J93" s="27">
        <f t="shared" si="19"/>
        <v>0</v>
      </c>
      <c r="K93" s="27">
        <v>2700</v>
      </c>
      <c r="L93" s="27">
        <v>0</v>
      </c>
      <c r="M93" s="27">
        <v>0</v>
      </c>
      <c r="N93" s="27">
        <v>0</v>
      </c>
      <c r="O93" s="27">
        <v>2700</v>
      </c>
      <c r="P93" s="28">
        <v>0</v>
      </c>
      <c r="Q93" s="27">
        <f t="shared" si="18"/>
        <v>0</v>
      </c>
      <c r="R93" s="27"/>
      <c r="S93" s="27">
        <f t="shared" si="21"/>
        <v>0</v>
      </c>
      <c r="T93" s="27">
        <f t="shared" si="20"/>
        <v>0</v>
      </c>
      <c r="U93" s="27">
        <f t="shared" si="22"/>
        <v>0</v>
      </c>
      <c r="W93" s="27"/>
      <c r="X93" s="27"/>
      <c r="Y93" s="27"/>
    </row>
    <row r="94" spans="1:25" ht="20.100000000000001" customHeight="1" outlineLevel="1" x14ac:dyDescent="0.2">
      <c r="A94" s="26" t="s">
        <v>327</v>
      </c>
      <c r="B94" s="30">
        <v>521</v>
      </c>
      <c r="C94" s="30" t="str">
        <f t="shared" si="16"/>
        <v>3</v>
      </c>
      <c r="D94" s="30" t="str">
        <f t="shared" si="17"/>
        <v>34</v>
      </c>
      <c r="E94" s="26" t="str">
        <f t="shared" si="9"/>
        <v>343</v>
      </c>
      <c r="F94" s="26" t="s">
        <v>163</v>
      </c>
      <c r="G94" s="26" t="s">
        <v>195</v>
      </c>
      <c r="H94" s="26" t="s">
        <v>165</v>
      </c>
      <c r="I94" s="27">
        <v>200</v>
      </c>
      <c r="J94" s="27">
        <f t="shared" si="19"/>
        <v>22.55</v>
      </c>
      <c r="K94" s="27">
        <v>200</v>
      </c>
      <c r="L94" s="27">
        <v>0</v>
      </c>
      <c r="M94" s="27">
        <v>0</v>
      </c>
      <c r="N94" s="27">
        <v>0</v>
      </c>
      <c r="O94" s="27">
        <v>200</v>
      </c>
      <c r="P94" s="28">
        <v>0</v>
      </c>
      <c r="Q94" s="27">
        <f t="shared" si="18"/>
        <v>22.55</v>
      </c>
      <c r="R94" s="27"/>
      <c r="S94" s="27">
        <f t="shared" si="21"/>
        <v>22.55</v>
      </c>
      <c r="T94" s="27">
        <f t="shared" si="20"/>
        <v>22.55</v>
      </c>
      <c r="U94" s="27">
        <f t="shared" si="22"/>
        <v>0</v>
      </c>
      <c r="W94" s="27"/>
      <c r="X94" s="27">
        <v>22.55</v>
      </c>
      <c r="Y94" s="27"/>
    </row>
    <row r="95" spans="1:25" ht="20.100000000000001" customHeight="1" x14ac:dyDescent="0.2">
      <c r="F95" s="216" t="s">
        <v>34</v>
      </c>
      <c r="G95" s="216"/>
      <c r="H95" s="216"/>
      <c r="I95" s="52">
        <f>SUMIFS(I96:I264,$A96:$A264,"A212401",$B96:$B264,"541")</f>
        <v>1000</v>
      </c>
      <c r="J95" s="52">
        <f t="shared" ref="J95:U95" si="23">SUMIFS(J96:J264,$A96:$A264,"A212401",$B96:$B264,"541")</f>
        <v>308.09000000000003</v>
      </c>
      <c r="K95" s="52">
        <f t="shared" si="23"/>
        <v>731.9</v>
      </c>
      <c r="L95" s="52">
        <f t="shared" si="23"/>
        <v>0</v>
      </c>
      <c r="M95" s="52">
        <f t="shared" si="23"/>
        <v>268.10000000000002</v>
      </c>
      <c r="N95" s="52">
        <f t="shared" si="23"/>
        <v>0</v>
      </c>
      <c r="O95" s="52">
        <f t="shared" si="23"/>
        <v>731.9</v>
      </c>
      <c r="P95" s="53">
        <v>0.26800000000000002</v>
      </c>
      <c r="Q95" s="52">
        <f t="shared" si="23"/>
        <v>308.09000000000003</v>
      </c>
      <c r="R95" s="52">
        <f t="shared" si="23"/>
        <v>0</v>
      </c>
      <c r="S95" s="52">
        <f t="shared" si="23"/>
        <v>308.09000000000003</v>
      </c>
      <c r="T95" s="52">
        <f t="shared" si="23"/>
        <v>308.09000000000003</v>
      </c>
      <c r="U95" s="52">
        <f t="shared" si="23"/>
        <v>0</v>
      </c>
      <c r="V95" s="32"/>
      <c r="W95" s="52"/>
      <c r="X95" s="52"/>
      <c r="Y95" s="52"/>
    </row>
    <row r="96" spans="1:25" ht="20.100000000000001" customHeight="1" outlineLevel="1" x14ac:dyDescent="0.2">
      <c r="A96" s="26" t="s">
        <v>327</v>
      </c>
      <c r="B96" s="30">
        <v>541</v>
      </c>
      <c r="C96" s="30" t="str">
        <f>LEFT(F96,1)</f>
        <v>3</v>
      </c>
      <c r="D96" s="30" t="str">
        <f>LEFT(F96,2)</f>
        <v>32</v>
      </c>
      <c r="E96" s="26" t="str">
        <f t="shared" si="9"/>
        <v>322</v>
      </c>
      <c r="F96" s="26" t="s">
        <v>72</v>
      </c>
      <c r="G96" s="26" t="s">
        <v>196</v>
      </c>
      <c r="H96" s="26" t="s">
        <v>74</v>
      </c>
      <c r="I96" s="27">
        <v>0</v>
      </c>
      <c r="J96" s="27">
        <f>T96</f>
        <v>0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8">
        <v>0</v>
      </c>
      <c r="Q96" s="27">
        <f>J96</f>
        <v>0</v>
      </c>
      <c r="R96" s="27"/>
      <c r="S96" s="27">
        <f>R96+Q96</f>
        <v>0</v>
      </c>
      <c r="T96" s="27"/>
      <c r="U96" s="27">
        <f>S96-T96</f>
        <v>0</v>
      </c>
    </row>
    <row r="97" spans="1:22" ht="20.100000000000001" customHeight="1" outlineLevel="1" x14ac:dyDescent="0.2">
      <c r="A97" s="26" t="s">
        <v>327</v>
      </c>
      <c r="B97" s="30">
        <v>541</v>
      </c>
      <c r="C97" s="30" t="str">
        <f>LEFT(F97,1)</f>
        <v>3</v>
      </c>
      <c r="D97" s="30" t="str">
        <f>LEFT(F97,2)</f>
        <v>32</v>
      </c>
      <c r="E97" s="26" t="str">
        <f t="shared" si="9"/>
        <v>322</v>
      </c>
      <c r="F97" s="26" t="s">
        <v>75</v>
      </c>
      <c r="G97" s="26" t="s">
        <v>197</v>
      </c>
      <c r="H97" s="26" t="s">
        <v>77</v>
      </c>
      <c r="I97" s="27">
        <v>100</v>
      </c>
      <c r="J97" s="27">
        <f t="shared" ref="J97:J110" si="24">T97</f>
        <v>39.99</v>
      </c>
      <c r="K97" s="27">
        <v>100</v>
      </c>
      <c r="L97" s="27">
        <v>0</v>
      </c>
      <c r="M97" s="27">
        <v>0</v>
      </c>
      <c r="N97" s="27">
        <v>0</v>
      </c>
      <c r="O97" s="27">
        <v>100</v>
      </c>
      <c r="P97" s="28">
        <v>0</v>
      </c>
      <c r="Q97" s="27">
        <f>J97</f>
        <v>39.99</v>
      </c>
      <c r="R97" s="27"/>
      <c r="S97" s="27">
        <f>R97+Q97</f>
        <v>39.99</v>
      </c>
      <c r="T97" s="27">
        <v>39.99</v>
      </c>
      <c r="U97" s="27">
        <f>S97-T97</f>
        <v>0</v>
      </c>
    </row>
    <row r="98" spans="1:22" ht="20.100000000000001" customHeight="1" outlineLevel="1" x14ac:dyDescent="0.2">
      <c r="A98" s="26" t="s">
        <v>327</v>
      </c>
      <c r="B98" s="30">
        <v>541</v>
      </c>
      <c r="C98" s="30" t="str">
        <f>LEFT(F98,1)</f>
        <v>3</v>
      </c>
      <c r="D98" s="30" t="str">
        <f>LEFT(F98,2)</f>
        <v>32</v>
      </c>
      <c r="E98" s="26" t="str">
        <f t="shared" si="9"/>
        <v>322</v>
      </c>
      <c r="F98" s="26" t="s">
        <v>84</v>
      </c>
      <c r="G98" s="26" t="s">
        <v>198</v>
      </c>
      <c r="H98" s="26" t="s">
        <v>86</v>
      </c>
      <c r="I98" s="27">
        <v>300</v>
      </c>
      <c r="J98" s="27">
        <f t="shared" si="24"/>
        <v>268.10000000000002</v>
      </c>
      <c r="K98" s="27">
        <v>31.9</v>
      </c>
      <c r="L98" s="27">
        <v>0</v>
      </c>
      <c r="M98" s="27">
        <v>268.10000000000002</v>
      </c>
      <c r="N98" s="27">
        <v>0</v>
      </c>
      <c r="O98" s="27">
        <v>31.9</v>
      </c>
      <c r="P98" s="28">
        <v>0.89400000000000002</v>
      </c>
      <c r="Q98" s="27">
        <f>J98</f>
        <v>268.10000000000002</v>
      </c>
      <c r="R98" s="27"/>
      <c r="S98" s="27">
        <f>R98+Q98</f>
        <v>268.10000000000002</v>
      </c>
      <c r="T98" s="27">
        <v>268.10000000000002</v>
      </c>
      <c r="U98" s="27">
        <f>S98-T98</f>
        <v>0</v>
      </c>
    </row>
    <row r="99" spans="1:22" ht="20.100000000000001" customHeight="1" outlineLevel="1" x14ac:dyDescent="0.2">
      <c r="A99" s="26" t="s">
        <v>327</v>
      </c>
      <c r="B99" s="30">
        <v>541</v>
      </c>
      <c r="C99" s="30" t="str">
        <f>LEFT(F99,1)</f>
        <v>3</v>
      </c>
      <c r="D99" s="30" t="str">
        <f>LEFT(F99,2)</f>
        <v>32</v>
      </c>
      <c r="E99" s="26" t="str">
        <f t="shared" si="9"/>
        <v>323</v>
      </c>
      <c r="F99" s="26" t="s">
        <v>97</v>
      </c>
      <c r="G99" s="26" t="s">
        <v>199</v>
      </c>
      <c r="H99" s="26" t="s">
        <v>99</v>
      </c>
      <c r="I99" s="27">
        <v>0</v>
      </c>
      <c r="J99" s="27">
        <f t="shared" si="24"/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8">
        <v>0</v>
      </c>
      <c r="Q99" s="27">
        <f>J99</f>
        <v>0</v>
      </c>
      <c r="R99" s="27"/>
      <c r="S99" s="27">
        <f>R99+Q99</f>
        <v>0</v>
      </c>
      <c r="T99" s="27"/>
      <c r="U99" s="27">
        <f>S99-T99</f>
        <v>0</v>
      </c>
    </row>
    <row r="100" spans="1:22" ht="20.100000000000001" customHeight="1" outlineLevel="1" x14ac:dyDescent="0.2">
      <c r="A100" s="26" t="s">
        <v>327</v>
      </c>
      <c r="B100" s="30">
        <v>541</v>
      </c>
      <c r="C100" s="30" t="str">
        <f>LEFT(F100,1)</f>
        <v>3</v>
      </c>
      <c r="D100" s="30" t="str">
        <f>LEFT(F100,2)</f>
        <v>32</v>
      </c>
      <c r="E100" s="26" t="str">
        <f t="shared" si="9"/>
        <v>329</v>
      </c>
      <c r="F100" s="26" t="s">
        <v>154</v>
      </c>
      <c r="G100" s="26" t="s">
        <v>200</v>
      </c>
      <c r="H100" s="26" t="s">
        <v>156</v>
      </c>
      <c r="I100" s="27">
        <v>600</v>
      </c>
      <c r="J100" s="27">
        <f t="shared" si="24"/>
        <v>0</v>
      </c>
      <c r="K100" s="27">
        <v>600</v>
      </c>
      <c r="L100" s="27">
        <v>0</v>
      </c>
      <c r="M100" s="27">
        <v>0</v>
      </c>
      <c r="N100" s="27">
        <v>0</v>
      </c>
      <c r="O100" s="27">
        <v>600</v>
      </c>
      <c r="P100" s="28">
        <v>0</v>
      </c>
      <c r="Q100" s="27">
        <f>J100</f>
        <v>0</v>
      </c>
      <c r="R100" s="27"/>
      <c r="S100" s="27">
        <f>R100+Q100</f>
        <v>0</v>
      </c>
      <c r="T100" s="27"/>
      <c r="U100" s="27">
        <f>S100-T100</f>
        <v>0</v>
      </c>
    </row>
    <row r="101" spans="1:22" ht="20.100000000000001" customHeight="1" x14ac:dyDescent="0.2">
      <c r="F101" s="216" t="s">
        <v>201</v>
      </c>
      <c r="G101" s="216"/>
      <c r="H101" s="216"/>
      <c r="I101" s="52">
        <f>SUMIFS(I102:I270,$A102:$A270,"A212401",$B102:$B270,"561")</f>
        <v>28000</v>
      </c>
      <c r="J101" s="52">
        <f t="shared" ref="J101:U101" si="25">SUMIFS(J102:J270,$A102:$A270,"A212401",$B102:$B270,"561")</f>
        <v>27200.49</v>
      </c>
      <c r="K101" s="52">
        <f t="shared" si="25"/>
        <v>7611.9000000000005</v>
      </c>
      <c r="L101" s="52">
        <f t="shared" si="25"/>
        <v>0</v>
      </c>
      <c r="M101" s="52">
        <f t="shared" si="25"/>
        <v>20388.099999999999</v>
      </c>
      <c r="N101" s="52">
        <f t="shared" si="25"/>
        <v>0</v>
      </c>
      <c r="O101" s="52">
        <f t="shared" si="25"/>
        <v>7611.9000000000005</v>
      </c>
      <c r="P101" s="53">
        <v>0.72799999999999998</v>
      </c>
      <c r="Q101" s="52">
        <f t="shared" si="25"/>
        <v>27200.49</v>
      </c>
      <c r="R101" s="52">
        <f t="shared" si="25"/>
        <v>0</v>
      </c>
      <c r="S101" s="52">
        <f t="shared" si="25"/>
        <v>27200.49</v>
      </c>
      <c r="T101" s="52">
        <f t="shared" si="25"/>
        <v>27200.49</v>
      </c>
      <c r="U101" s="52">
        <f t="shared" si="25"/>
        <v>0</v>
      </c>
      <c r="V101" s="32"/>
    </row>
    <row r="102" spans="1:22" ht="20.100000000000001" customHeight="1" outlineLevel="1" x14ac:dyDescent="0.2">
      <c r="A102" s="26" t="s">
        <v>327</v>
      </c>
      <c r="B102" s="30">
        <v>561</v>
      </c>
      <c r="C102" s="30" t="str">
        <f t="shared" ref="C102:C108" si="26">LEFT(F102,1)</f>
        <v>3</v>
      </c>
      <c r="D102" s="30" t="str">
        <f t="shared" ref="D102:D108" si="27">LEFT(F102,2)</f>
        <v>32</v>
      </c>
      <c r="E102" s="26" t="str">
        <f t="shared" si="9"/>
        <v>321</v>
      </c>
      <c r="F102" s="26" t="s">
        <v>130</v>
      </c>
      <c r="G102" s="26" t="s">
        <v>202</v>
      </c>
      <c r="H102" s="26" t="s">
        <v>132</v>
      </c>
      <c r="I102" s="27">
        <v>18000</v>
      </c>
      <c r="J102" s="27">
        <f t="shared" si="24"/>
        <v>21669.13</v>
      </c>
      <c r="K102" s="27">
        <v>-42.53</v>
      </c>
      <c r="L102" s="27">
        <v>0</v>
      </c>
      <c r="M102" s="27">
        <v>18042.53</v>
      </c>
      <c r="N102" s="27">
        <v>0</v>
      </c>
      <c r="O102" s="27">
        <v>-42.53</v>
      </c>
      <c r="P102" s="28">
        <v>1.002</v>
      </c>
      <c r="Q102" s="27">
        <f t="shared" ref="Q102:Q108" si="28">J102</f>
        <v>21669.13</v>
      </c>
      <c r="R102" s="27"/>
      <c r="S102" s="27">
        <f t="shared" ref="S102:S108" si="29">R102+Q102</f>
        <v>21669.13</v>
      </c>
      <c r="T102" s="27">
        <f>21349.13+320</f>
        <v>21669.13</v>
      </c>
      <c r="U102" s="27">
        <f t="shared" ref="U102:U108" si="30">S102-T102</f>
        <v>0</v>
      </c>
    </row>
    <row r="103" spans="1:22" ht="20.100000000000001" customHeight="1" outlineLevel="1" x14ac:dyDescent="0.2">
      <c r="A103" s="26" t="s">
        <v>327</v>
      </c>
      <c r="B103" s="30">
        <v>561</v>
      </c>
      <c r="C103" s="30" t="str">
        <f t="shared" si="26"/>
        <v>3</v>
      </c>
      <c r="D103" s="30" t="str">
        <f t="shared" si="27"/>
        <v>32</v>
      </c>
      <c r="E103" s="26" t="str">
        <f t="shared" si="9"/>
        <v>321</v>
      </c>
      <c r="F103" s="26" t="s">
        <v>69</v>
      </c>
      <c r="G103" s="26" t="s">
        <v>203</v>
      </c>
      <c r="H103" s="26" t="s">
        <v>71</v>
      </c>
      <c r="I103" s="27">
        <v>4000</v>
      </c>
      <c r="J103" s="27">
        <f t="shared" si="24"/>
        <v>2150</v>
      </c>
      <c r="K103" s="27">
        <v>1850</v>
      </c>
      <c r="L103" s="27">
        <v>0</v>
      </c>
      <c r="M103" s="27">
        <v>2150</v>
      </c>
      <c r="N103" s="27">
        <v>0</v>
      </c>
      <c r="O103" s="27">
        <v>1850</v>
      </c>
      <c r="P103" s="28">
        <v>0.53800000000000003</v>
      </c>
      <c r="Q103" s="27">
        <f t="shared" si="28"/>
        <v>2150</v>
      </c>
      <c r="R103" s="27"/>
      <c r="S103" s="27">
        <f t="shared" si="29"/>
        <v>2150</v>
      </c>
      <c r="T103" s="27">
        <v>2150</v>
      </c>
      <c r="U103" s="27">
        <f t="shared" si="30"/>
        <v>0</v>
      </c>
    </row>
    <row r="104" spans="1:22" ht="20.100000000000001" customHeight="1" outlineLevel="1" x14ac:dyDescent="0.2">
      <c r="A104" s="26" t="s">
        <v>327</v>
      </c>
      <c r="B104" s="30">
        <v>561</v>
      </c>
      <c r="C104" s="30" t="str">
        <f t="shared" si="26"/>
        <v>3</v>
      </c>
      <c r="D104" s="30" t="str">
        <f t="shared" si="27"/>
        <v>32</v>
      </c>
      <c r="E104" s="26" t="str">
        <f>LEFT(F104,3)</f>
        <v>323</v>
      </c>
      <c r="F104" s="26" t="s">
        <v>38</v>
      </c>
      <c r="G104" s="26" t="s">
        <v>204</v>
      </c>
      <c r="H104" s="26" t="s">
        <v>40</v>
      </c>
      <c r="I104" s="27">
        <v>0</v>
      </c>
      <c r="J104" s="27">
        <f t="shared" si="24"/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8">
        <v>0</v>
      </c>
      <c r="Q104" s="27">
        <f t="shared" si="28"/>
        <v>0</v>
      </c>
      <c r="R104" s="27"/>
      <c r="S104" s="27">
        <f t="shared" si="29"/>
        <v>0</v>
      </c>
      <c r="T104" s="27"/>
      <c r="U104" s="27">
        <f t="shared" si="30"/>
        <v>0</v>
      </c>
    </row>
    <row r="105" spans="1:22" ht="20.100000000000001" customHeight="1" outlineLevel="1" x14ac:dyDescent="0.2">
      <c r="A105" s="26" t="s">
        <v>327</v>
      </c>
      <c r="B105" s="30">
        <v>561</v>
      </c>
      <c r="C105" s="30" t="str">
        <f t="shared" si="26"/>
        <v>3</v>
      </c>
      <c r="D105" s="30" t="str">
        <f t="shared" si="27"/>
        <v>32</v>
      </c>
      <c r="E105" s="26" t="str">
        <f>LEFT(F105,3)</f>
        <v>323</v>
      </c>
      <c r="F105" s="26" t="s">
        <v>91</v>
      </c>
      <c r="G105" s="26" t="s">
        <v>205</v>
      </c>
      <c r="H105" s="26" t="s">
        <v>93</v>
      </c>
      <c r="I105" s="27">
        <v>4000</v>
      </c>
      <c r="J105" s="27">
        <f t="shared" si="24"/>
        <v>2327</v>
      </c>
      <c r="K105" s="27">
        <v>4000</v>
      </c>
      <c r="L105" s="27">
        <v>0</v>
      </c>
      <c r="M105" s="27">
        <v>0</v>
      </c>
      <c r="N105" s="27">
        <v>0</v>
      </c>
      <c r="O105" s="27">
        <v>4000</v>
      </c>
      <c r="P105" s="28">
        <v>0</v>
      </c>
      <c r="Q105" s="27">
        <f t="shared" si="28"/>
        <v>2327</v>
      </c>
      <c r="R105" s="27"/>
      <c r="S105" s="27">
        <f t="shared" si="29"/>
        <v>2327</v>
      </c>
      <c r="T105" s="27">
        <v>2327</v>
      </c>
      <c r="U105" s="27">
        <f t="shared" si="30"/>
        <v>0</v>
      </c>
    </row>
    <row r="106" spans="1:22" ht="20.100000000000001" customHeight="1" outlineLevel="1" x14ac:dyDescent="0.2">
      <c r="A106" s="26" t="s">
        <v>327</v>
      </c>
      <c r="B106" s="30">
        <v>561</v>
      </c>
      <c r="C106" s="30" t="str">
        <f t="shared" si="26"/>
        <v>3</v>
      </c>
      <c r="D106" s="30" t="str">
        <f t="shared" si="27"/>
        <v>32</v>
      </c>
      <c r="E106" s="26" t="str">
        <f>LEFT(F106,3)</f>
        <v>323</v>
      </c>
      <c r="F106" s="35">
        <v>3239</v>
      </c>
      <c r="G106" s="26" t="s">
        <v>206</v>
      </c>
      <c r="H106" s="26" t="s">
        <v>128</v>
      </c>
      <c r="I106" s="27">
        <v>0</v>
      </c>
      <c r="J106" s="27">
        <f t="shared" si="24"/>
        <v>786.71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8">
        <v>0</v>
      </c>
      <c r="Q106" s="27">
        <f t="shared" si="28"/>
        <v>786.71</v>
      </c>
      <c r="R106" s="27"/>
      <c r="S106" s="27">
        <f t="shared" si="29"/>
        <v>786.71</v>
      </c>
      <c r="T106" s="27">
        <v>786.71</v>
      </c>
      <c r="U106" s="27">
        <f t="shared" si="30"/>
        <v>0</v>
      </c>
    </row>
    <row r="107" spans="1:22" ht="20.100000000000001" customHeight="1" outlineLevel="1" x14ac:dyDescent="0.2">
      <c r="A107" s="26" t="s">
        <v>327</v>
      </c>
      <c r="B107" s="30">
        <v>561</v>
      </c>
      <c r="C107" s="30" t="str">
        <f t="shared" si="26"/>
        <v>3</v>
      </c>
      <c r="D107" s="30" t="str">
        <f t="shared" si="27"/>
        <v>32</v>
      </c>
      <c r="E107" s="26" t="str">
        <f>LEFT(F107,3)</f>
        <v>323</v>
      </c>
      <c r="F107" s="26" t="s">
        <v>41</v>
      </c>
      <c r="G107" s="26" t="s">
        <v>206</v>
      </c>
      <c r="H107" s="26" t="s">
        <v>43</v>
      </c>
      <c r="I107" s="27">
        <v>0</v>
      </c>
      <c r="J107" s="27">
        <f t="shared" si="24"/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8">
        <v>0</v>
      </c>
      <c r="Q107" s="27">
        <f t="shared" si="28"/>
        <v>0</v>
      </c>
      <c r="R107" s="27"/>
      <c r="S107" s="27">
        <f t="shared" si="29"/>
        <v>0</v>
      </c>
      <c r="T107" s="27"/>
      <c r="U107" s="27">
        <f t="shared" si="30"/>
        <v>0</v>
      </c>
    </row>
    <row r="108" spans="1:22" ht="20.100000000000001" customHeight="1" outlineLevel="1" x14ac:dyDescent="0.2">
      <c r="A108" s="26" t="s">
        <v>327</v>
      </c>
      <c r="B108" s="30">
        <v>561</v>
      </c>
      <c r="C108" s="30" t="str">
        <f t="shared" si="26"/>
        <v>3</v>
      </c>
      <c r="D108" s="30" t="str">
        <f t="shared" si="27"/>
        <v>32</v>
      </c>
      <c r="E108" s="26" t="str">
        <f>LEFT(F108,3)</f>
        <v>329</v>
      </c>
      <c r="F108" s="26" t="s">
        <v>154</v>
      </c>
      <c r="G108" s="26" t="s">
        <v>207</v>
      </c>
      <c r="H108" s="26" t="s">
        <v>156</v>
      </c>
      <c r="I108" s="27">
        <v>2000</v>
      </c>
      <c r="J108" s="27">
        <f t="shared" si="24"/>
        <v>267.64999999999998</v>
      </c>
      <c r="K108" s="27">
        <v>1804.43</v>
      </c>
      <c r="L108" s="27">
        <v>0</v>
      </c>
      <c r="M108" s="27">
        <v>195.57</v>
      </c>
      <c r="N108" s="27">
        <v>0</v>
      </c>
      <c r="O108" s="27">
        <v>1804.43</v>
      </c>
      <c r="P108" s="28">
        <v>9.8000000000000004E-2</v>
      </c>
      <c r="Q108" s="27">
        <f t="shared" si="28"/>
        <v>267.64999999999998</v>
      </c>
      <c r="R108" s="27"/>
      <c r="S108" s="27">
        <f t="shared" si="29"/>
        <v>267.64999999999998</v>
      </c>
      <c r="T108" s="27">
        <v>267.64999999999998</v>
      </c>
      <c r="U108" s="27">
        <f t="shared" si="30"/>
        <v>0</v>
      </c>
    </row>
    <row r="109" spans="1:22" ht="20.100000000000001" customHeight="1" x14ac:dyDescent="0.2">
      <c r="F109" s="216" t="s">
        <v>37</v>
      </c>
      <c r="G109" s="216"/>
      <c r="H109" s="216"/>
      <c r="I109" s="52">
        <f>SUMIFS(I110:I277,$A110:$A277,"A212401",$B110:$B277,"571")</f>
        <v>0</v>
      </c>
      <c r="J109" s="52">
        <f t="shared" ref="J109:U109" si="31">SUMIFS(J110:J277,$A110:$A277,"A212401",$B110:$B277,"571")</f>
        <v>0</v>
      </c>
      <c r="K109" s="52">
        <f t="shared" si="31"/>
        <v>0</v>
      </c>
      <c r="L109" s="52">
        <f t="shared" si="31"/>
        <v>0</v>
      </c>
      <c r="M109" s="52">
        <f t="shared" si="31"/>
        <v>0</v>
      </c>
      <c r="N109" s="52">
        <f t="shared" si="31"/>
        <v>0</v>
      </c>
      <c r="O109" s="52">
        <f t="shared" si="31"/>
        <v>0</v>
      </c>
      <c r="P109" s="53">
        <v>0</v>
      </c>
      <c r="Q109" s="52">
        <f t="shared" si="31"/>
        <v>0</v>
      </c>
      <c r="R109" s="52">
        <f t="shared" si="31"/>
        <v>0</v>
      </c>
      <c r="S109" s="52">
        <f t="shared" si="31"/>
        <v>0</v>
      </c>
      <c r="T109" s="52">
        <f t="shared" si="31"/>
        <v>0</v>
      </c>
      <c r="U109" s="52">
        <f t="shared" si="31"/>
        <v>0</v>
      </c>
      <c r="V109" s="32"/>
    </row>
    <row r="110" spans="1:22" ht="20.100000000000001" customHeight="1" outlineLevel="1" x14ac:dyDescent="0.2">
      <c r="A110" s="26" t="s">
        <v>327</v>
      </c>
      <c r="B110" s="30">
        <v>571</v>
      </c>
      <c r="C110" s="30" t="str">
        <f>LEFT(F110,1)</f>
        <v>3</v>
      </c>
      <c r="D110" s="30" t="str">
        <f>LEFT(F110,2)</f>
        <v>32</v>
      </c>
      <c r="E110" s="26" t="str">
        <f>LEFT(F110,3)</f>
        <v>323</v>
      </c>
      <c r="F110" s="26" t="s">
        <v>41</v>
      </c>
      <c r="G110" s="26" t="s">
        <v>208</v>
      </c>
      <c r="H110" s="26" t="s">
        <v>43</v>
      </c>
      <c r="I110" s="27">
        <v>0</v>
      </c>
      <c r="J110" s="27">
        <f t="shared" si="24"/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8">
        <v>0</v>
      </c>
      <c r="Q110" s="27">
        <f>J110</f>
        <v>0</v>
      </c>
      <c r="R110" s="27"/>
      <c r="S110" s="27">
        <f>R110+Q110</f>
        <v>0</v>
      </c>
      <c r="T110" s="27">
        <v>0</v>
      </c>
      <c r="U110" s="27">
        <f>S110-T110</f>
        <v>0</v>
      </c>
    </row>
    <row r="111" spans="1:22" ht="35.1" customHeight="1" x14ac:dyDescent="0.2">
      <c r="F111" s="222" t="s">
        <v>209</v>
      </c>
      <c r="G111" s="222"/>
      <c r="H111" s="222"/>
      <c r="I111" s="39">
        <f>I112+I124+I137+I155</f>
        <v>312300</v>
      </c>
      <c r="J111" s="39">
        <f t="shared" ref="J111:U111" si="32">J112+J124+J137+J155</f>
        <v>343123.99</v>
      </c>
      <c r="K111" s="39">
        <f t="shared" si="32"/>
        <v>83673.989999999991</v>
      </c>
      <c r="L111" s="39">
        <f t="shared" si="32"/>
        <v>0</v>
      </c>
      <c r="M111" s="39">
        <f t="shared" si="32"/>
        <v>228626.01000000004</v>
      </c>
      <c r="N111" s="39">
        <f t="shared" si="32"/>
        <v>0</v>
      </c>
      <c r="O111" s="39">
        <f t="shared" si="32"/>
        <v>83773.989999999991</v>
      </c>
      <c r="P111" s="40">
        <v>0.73199999999999998</v>
      </c>
      <c r="Q111" s="39">
        <f t="shared" si="32"/>
        <v>343123.99</v>
      </c>
      <c r="R111" s="39">
        <f t="shared" si="32"/>
        <v>0</v>
      </c>
      <c r="S111" s="39">
        <f t="shared" si="32"/>
        <v>343123.99</v>
      </c>
      <c r="T111" s="39">
        <f t="shared" si="32"/>
        <v>342414.91</v>
      </c>
      <c r="U111" s="39">
        <f t="shared" si="32"/>
        <v>709.08000000000266</v>
      </c>
    </row>
    <row r="112" spans="1:22" ht="20.100000000000001" customHeight="1" x14ac:dyDescent="0.2">
      <c r="F112" s="216" t="s">
        <v>56</v>
      </c>
      <c r="G112" s="216"/>
      <c r="H112" s="216"/>
      <c r="I112" s="52">
        <f>SUMIFS(I113:I280,$A113:$A280,"A212402",$B113:$B280,"112")</f>
        <v>180000</v>
      </c>
      <c r="J112" s="52">
        <f t="shared" ref="J112:U112" si="33">SUMIFS(J113:J280,$A113:$A280,"A212402",$B113:$B280,"112")</f>
        <v>176005.63</v>
      </c>
      <c r="K112" s="52">
        <f t="shared" si="33"/>
        <v>3994.3700000000008</v>
      </c>
      <c r="L112" s="52">
        <f t="shared" si="33"/>
        <v>0</v>
      </c>
      <c r="M112" s="52">
        <f t="shared" si="33"/>
        <v>176005.63</v>
      </c>
      <c r="N112" s="52">
        <f t="shared" si="33"/>
        <v>0</v>
      </c>
      <c r="O112" s="52">
        <f t="shared" si="33"/>
        <v>3994.3700000000008</v>
      </c>
      <c r="P112" s="53">
        <v>0.97799999999999998</v>
      </c>
      <c r="Q112" s="52">
        <f t="shared" si="33"/>
        <v>176005.63</v>
      </c>
      <c r="R112" s="52">
        <f t="shared" si="33"/>
        <v>0</v>
      </c>
      <c r="S112" s="52">
        <f t="shared" si="33"/>
        <v>176005.63</v>
      </c>
      <c r="T112" s="52">
        <f t="shared" si="33"/>
        <v>175296.55</v>
      </c>
      <c r="U112" s="52">
        <f t="shared" si="33"/>
        <v>709.08000000000266</v>
      </c>
      <c r="V112" s="32"/>
    </row>
    <row r="113" spans="1:24" ht="20.100000000000001" customHeight="1" outlineLevel="1" x14ac:dyDescent="0.2">
      <c r="A113" s="26" t="s">
        <v>328</v>
      </c>
      <c r="B113" s="30">
        <v>112</v>
      </c>
      <c r="C113" s="30" t="str">
        <f t="shared" ref="C113:C123" si="34">LEFT(F113,1)</f>
        <v>3</v>
      </c>
      <c r="D113" s="30" t="str">
        <f t="shared" ref="D113:D123" si="35">LEFT(F113,2)</f>
        <v>32</v>
      </c>
      <c r="E113" s="26" t="str">
        <f t="shared" ref="E113:E162" si="36">LEFT(F113,3)</f>
        <v>321</v>
      </c>
      <c r="F113" s="26" t="s">
        <v>172</v>
      </c>
      <c r="G113" s="26" t="s">
        <v>210</v>
      </c>
      <c r="H113" s="26" t="s">
        <v>174</v>
      </c>
      <c r="I113" s="27">
        <v>5000</v>
      </c>
      <c r="J113" s="27">
        <v>0</v>
      </c>
      <c r="K113" s="27">
        <v>5000</v>
      </c>
      <c r="L113" s="27">
        <v>0</v>
      </c>
      <c r="M113" s="27">
        <v>0</v>
      </c>
      <c r="N113" s="27">
        <v>0</v>
      </c>
      <c r="O113" s="27">
        <v>5000</v>
      </c>
      <c r="P113" s="28">
        <v>0</v>
      </c>
      <c r="Q113" s="27">
        <f t="shared" ref="Q113:Q123" si="37">J113</f>
        <v>0</v>
      </c>
      <c r="R113" s="27"/>
      <c r="S113" s="27">
        <f t="shared" ref="S113:S123" si="38">R113+Q113</f>
        <v>0</v>
      </c>
      <c r="T113" s="27"/>
      <c r="U113" s="27">
        <f t="shared" ref="U113:U123" si="39">S113-T113</f>
        <v>0</v>
      </c>
    </row>
    <row r="114" spans="1:24" ht="20.100000000000001" customHeight="1" outlineLevel="1" x14ac:dyDescent="0.2">
      <c r="A114" s="26" t="s">
        <v>328</v>
      </c>
      <c r="B114" s="30">
        <v>112</v>
      </c>
      <c r="C114" s="30" t="str">
        <f t="shared" si="34"/>
        <v>3</v>
      </c>
      <c r="D114" s="30" t="str">
        <f t="shared" si="35"/>
        <v>32</v>
      </c>
      <c r="E114" s="26" t="str">
        <f t="shared" si="36"/>
        <v>322</v>
      </c>
      <c r="F114" s="26" t="s">
        <v>72</v>
      </c>
      <c r="G114" s="26" t="s">
        <v>211</v>
      </c>
      <c r="H114" s="26" t="s">
        <v>74</v>
      </c>
      <c r="I114" s="27">
        <v>60000</v>
      </c>
      <c r="J114" s="27">
        <v>60000</v>
      </c>
      <c r="K114" s="27">
        <v>0</v>
      </c>
      <c r="L114" s="27">
        <v>0</v>
      </c>
      <c r="M114" s="27">
        <v>60000</v>
      </c>
      <c r="N114" s="27">
        <v>0</v>
      </c>
      <c r="O114" s="27">
        <v>0</v>
      </c>
      <c r="P114" s="28">
        <v>1</v>
      </c>
      <c r="Q114" s="27">
        <f t="shared" si="37"/>
        <v>60000</v>
      </c>
      <c r="R114" s="27"/>
      <c r="S114" s="27">
        <f t="shared" si="38"/>
        <v>60000</v>
      </c>
      <c r="T114" s="27">
        <v>60724.45</v>
      </c>
      <c r="U114" s="27">
        <f t="shared" si="39"/>
        <v>-724.44999999999709</v>
      </c>
    </row>
    <row r="115" spans="1:24" ht="20.100000000000001" customHeight="1" outlineLevel="1" x14ac:dyDescent="0.2">
      <c r="A115" s="26" t="s">
        <v>328</v>
      </c>
      <c r="B115" s="30">
        <v>112</v>
      </c>
      <c r="C115" s="30" t="str">
        <f t="shared" si="34"/>
        <v>3</v>
      </c>
      <c r="D115" s="30" t="str">
        <f t="shared" si="35"/>
        <v>32</v>
      </c>
      <c r="E115" s="26" t="str">
        <f t="shared" si="36"/>
        <v>322</v>
      </c>
      <c r="F115" s="26" t="s">
        <v>75</v>
      </c>
      <c r="G115" s="26" t="s">
        <v>212</v>
      </c>
      <c r="H115" s="26" t="s">
        <v>77</v>
      </c>
      <c r="I115" s="27">
        <v>11200</v>
      </c>
      <c r="J115" s="27">
        <v>5063.03</v>
      </c>
      <c r="K115" s="27">
        <v>6136.97</v>
      </c>
      <c r="L115" s="27">
        <v>0</v>
      </c>
      <c r="M115" s="27">
        <v>5063.03</v>
      </c>
      <c r="N115" s="27">
        <v>0</v>
      </c>
      <c r="O115" s="27">
        <v>6136.97</v>
      </c>
      <c r="P115" s="28">
        <v>0.45200000000000001</v>
      </c>
      <c r="Q115" s="27">
        <f t="shared" si="37"/>
        <v>5063.03</v>
      </c>
      <c r="R115" s="27"/>
      <c r="S115" s="27">
        <f t="shared" si="38"/>
        <v>5063.03</v>
      </c>
      <c r="T115" s="27">
        <v>3629.5</v>
      </c>
      <c r="U115" s="27">
        <f t="shared" si="39"/>
        <v>1433.5299999999997</v>
      </c>
    </row>
    <row r="116" spans="1:24" ht="20.100000000000001" customHeight="1" outlineLevel="1" x14ac:dyDescent="0.2">
      <c r="A116" s="26" t="s">
        <v>328</v>
      </c>
      <c r="B116" s="30">
        <v>112</v>
      </c>
      <c r="C116" s="30" t="str">
        <f t="shared" si="34"/>
        <v>3</v>
      </c>
      <c r="D116" s="30" t="str">
        <f t="shared" si="35"/>
        <v>32</v>
      </c>
      <c r="E116" s="26" t="str">
        <f t="shared" si="36"/>
        <v>323</v>
      </c>
      <c r="F116" s="26" t="s">
        <v>87</v>
      </c>
      <c r="G116" s="26" t="s">
        <v>213</v>
      </c>
      <c r="H116" s="26" t="s">
        <v>89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8">
        <v>0</v>
      </c>
      <c r="Q116" s="27">
        <f t="shared" si="37"/>
        <v>0</v>
      </c>
      <c r="R116" s="27"/>
      <c r="S116" s="27">
        <f t="shared" si="38"/>
        <v>0</v>
      </c>
      <c r="T116" s="27"/>
      <c r="U116" s="27">
        <f t="shared" si="39"/>
        <v>0</v>
      </c>
    </row>
    <row r="117" spans="1:24" ht="20.100000000000001" customHeight="1" outlineLevel="1" x14ac:dyDescent="0.2">
      <c r="A117" s="26" t="s">
        <v>328</v>
      </c>
      <c r="B117" s="30">
        <v>112</v>
      </c>
      <c r="C117" s="30" t="str">
        <f t="shared" si="34"/>
        <v>3</v>
      </c>
      <c r="D117" s="30" t="str">
        <f t="shared" si="35"/>
        <v>32</v>
      </c>
      <c r="E117" s="26" t="str">
        <f t="shared" si="36"/>
        <v>323</v>
      </c>
      <c r="F117" s="26" t="s">
        <v>38</v>
      </c>
      <c r="G117" s="26" t="s">
        <v>214</v>
      </c>
      <c r="H117" s="26" t="s">
        <v>40</v>
      </c>
      <c r="I117" s="27">
        <v>0</v>
      </c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27">
        <v>0</v>
      </c>
      <c r="P117" s="28">
        <v>0</v>
      </c>
      <c r="Q117" s="27">
        <f t="shared" si="37"/>
        <v>0</v>
      </c>
      <c r="R117" s="27"/>
      <c r="S117" s="27">
        <f t="shared" si="38"/>
        <v>0</v>
      </c>
      <c r="T117" s="27"/>
      <c r="U117" s="27">
        <f t="shared" si="39"/>
        <v>0</v>
      </c>
    </row>
    <row r="118" spans="1:24" ht="20.100000000000001" customHeight="1" outlineLevel="1" x14ac:dyDescent="0.2">
      <c r="A118" s="26" t="s">
        <v>328</v>
      </c>
      <c r="B118" s="30">
        <v>112</v>
      </c>
      <c r="C118" s="30" t="str">
        <f t="shared" si="34"/>
        <v>3</v>
      </c>
      <c r="D118" s="30" t="str">
        <f t="shared" si="35"/>
        <v>32</v>
      </c>
      <c r="E118" s="26" t="str">
        <f t="shared" si="36"/>
        <v>323</v>
      </c>
      <c r="F118" s="26" t="s">
        <v>91</v>
      </c>
      <c r="G118" s="26" t="s">
        <v>215</v>
      </c>
      <c r="H118" s="26" t="s">
        <v>93</v>
      </c>
      <c r="I118" s="27">
        <v>900</v>
      </c>
      <c r="J118" s="27">
        <v>591.25</v>
      </c>
      <c r="K118" s="27">
        <v>308.75</v>
      </c>
      <c r="L118" s="27">
        <v>0</v>
      </c>
      <c r="M118" s="27">
        <v>591.25</v>
      </c>
      <c r="N118" s="27">
        <v>0</v>
      </c>
      <c r="O118" s="27">
        <v>308.75</v>
      </c>
      <c r="P118" s="28">
        <v>0.65700000000000003</v>
      </c>
      <c r="Q118" s="27">
        <f t="shared" si="37"/>
        <v>591.25</v>
      </c>
      <c r="R118" s="27"/>
      <c r="S118" s="27">
        <f t="shared" si="38"/>
        <v>591.25</v>
      </c>
      <c r="T118" s="27">
        <v>591.25</v>
      </c>
      <c r="U118" s="27">
        <f t="shared" si="39"/>
        <v>0</v>
      </c>
    </row>
    <row r="119" spans="1:24" ht="20.100000000000001" customHeight="1" outlineLevel="1" x14ac:dyDescent="0.2">
      <c r="A119" s="26" t="s">
        <v>328</v>
      </c>
      <c r="B119" s="30">
        <v>112</v>
      </c>
      <c r="C119" s="30" t="str">
        <f t="shared" si="34"/>
        <v>3</v>
      </c>
      <c r="D119" s="30" t="str">
        <f t="shared" si="35"/>
        <v>32</v>
      </c>
      <c r="E119" s="26" t="str">
        <f t="shared" si="36"/>
        <v>323</v>
      </c>
      <c r="F119" s="26" t="s">
        <v>97</v>
      </c>
      <c r="G119" s="26" t="s">
        <v>216</v>
      </c>
      <c r="H119" s="26" t="s">
        <v>99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28">
        <v>0</v>
      </c>
      <c r="Q119" s="27">
        <f t="shared" si="37"/>
        <v>0</v>
      </c>
      <c r="R119" s="27"/>
      <c r="S119" s="27">
        <f t="shared" si="38"/>
        <v>0</v>
      </c>
      <c r="T119" s="27"/>
      <c r="U119" s="27">
        <f t="shared" si="39"/>
        <v>0</v>
      </c>
    </row>
    <row r="120" spans="1:24" ht="20.100000000000001" customHeight="1" outlineLevel="1" x14ac:dyDescent="0.2">
      <c r="A120" s="26" t="s">
        <v>328</v>
      </c>
      <c r="B120" s="30">
        <v>112</v>
      </c>
      <c r="C120" s="30" t="str">
        <f t="shared" si="34"/>
        <v>3</v>
      </c>
      <c r="D120" s="30" t="str">
        <f t="shared" si="35"/>
        <v>32</v>
      </c>
      <c r="E120" s="26" t="str">
        <f t="shared" si="36"/>
        <v>323</v>
      </c>
      <c r="F120" s="26" t="s">
        <v>41</v>
      </c>
      <c r="G120" s="26" t="s">
        <v>217</v>
      </c>
      <c r="H120" s="26" t="s">
        <v>43</v>
      </c>
      <c r="I120" s="27">
        <v>58800</v>
      </c>
      <c r="J120" s="27">
        <v>74866.350000000006</v>
      </c>
      <c r="K120" s="27">
        <v>-16066.35</v>
      </c>
      <c r="L120" s="27">
        <v>0</v>
      </c>
      <c r="M120" s="27">
        <v>74866.350000000006</v>
      </c>
      <c r="N120" s="27">
        <v>0</v>
      </c>
      <c r="O120" s="27">
        <v>-16066.35</v>
      </c>
      <c r="P120" s="28">
        <v>1.2729999999999999</v>
      </c>
      <c r="Q120" s="27">
        <f t="shared" si="37"/>
        <v>74866.350000000006</v>
      </c>
      <c r="R120" s="27"/>
      <c r="S120" s="27">
        <f t="shared" si="38"/>
        <v>74866.350000000006</v>
      </c>
      <c r="T120" s="27">
        <v>74866.350000000006</v>
      </c>
      <c r="U120" s="27">
        <f t="shared" si="39"/>
        <v>0</v>
      </c>
    </row>
    <row r="121" spans="1:24" ht="20.100000000000001" customHeight="1" outlineLevel="1" x14ac:dyDescent="0.2">
      <c r="A121" s="26" t="s">
        <v>328</v>
      </c>
      <c r="B121" s="30">
        <v>112</v>
      </c>
      <c r="C121" s="30" t="str">
        <f t="shared" si="34"/>
        <v>3</v>
      </c>
      <c r="D121" s="30" t="str">
        <f t="shared" si="35"/>
        <v>32</v>
      </c>
      <c r="E121" s="26" t="str">
        <f t="shared" si="36"/>
        <v>323</v>
      </c>
      <c r="F121" s="26" t="s">
        <v>104</v>
      </c>
      <c r="G121" s="26" t="s">
        <v>218</v>
      </c>
      <c r="H121" s="26" t="s">
        <v>106</v>
      </c>
      <c r="I121" s="27">
        <v>23000</v>
      </c>
      <c r="J121" s="27">
        <v>23000</v>
      </c>
      <c r="K121" s="27">
        <v>0</v>
      </c>
      <c r="L121" s="27">
        <v>0</v>
      </c>
      <c r="M121" s="27">
        <v>23000</v>
      </c>
      <c r="N121" s="27">
        <v>0</v>
      </c>
      <c r="O121" s="27">
        <v>0</v>
      </c>
      <c r="P121" s="28">
        <v>1</v>
      </c>
      <c r="Q121" s="27">
        <f t="shared" si="37"/>
        <v>23000</v>
      </c>
      <c r="R121" s="27"/>
      <c r="S121" s="27">
        <f t="shared" si="38"/>
        <v>23000</v>
      </c>
      <c r="T121" s="27">
        <v>23000</v>
      </c>
      <c r="U121" s="27">
        <f t="shared" si="39"/>
        <v>0</v>
      </c>
    </row>
    <row r="122" spans="1:24" ht="20.100000000000001" customHeight="1" outlineLevel="1" x14ac:dyDescent="0.2">
      <c r="A122" s="26" t="s">
        <v>328</v>
      </c>
      <c r="B122" s="30">
        <v>112</v>
      </c>
      <c r="C122" s="30" t="str">
        <f t="shared" si="34"/>
        <v>3</v>
      </c>
      <c r="D122" s="30" t="str">
        <f t="shared" si="35"/>
        <v>32</v>
      </c>
      <c r="E122" s="26" t="str">
        <f t="shared" si="36"/>
        <v>323</v>
      </c>
      <c r="F122" s="26" t="s">
        <v>126</v>
      </c>
      <c r="G122" s="26" t="s">
        <v>219</v>
      </c>
      <c r="H122" s="26" t="s">
        <v>128</v>
      </c>
      <c r="I122" s="27">
        <v>21100</v>
      </c>
      <c r="J122" s="27">
        <v>12485</v>
      </c>
      <c r="K122" s="27">
        <v>8615</v>
      </c>
      <c r="L122" s="27">
        <v>0</v>
      </c>
      <c r="M122" s="27">
        <v>12485</v>
      </c>
      <c r="N122" s="27">
        <v>0</v>
      </c>
      <c r="O122" s="27">
        <v>8615</v>
      </c>
      <c r="P122" s="28">
        <v>0.59199999999999997</v>
      </c>
      <c r="Q122" s="27">
        <f t="shared" si="37"/>
        <v>12485</v>
      </c>
      <c r="R122" s="27"/>
      <c r="S122" s="27">
        <f t="shared" si="38"/>
        <v>12485</v>
      </c>
      <c r="T122" s="27">
        <v>12485</v>
      </c>
      <c r="U122" s="27">
        <f t="shared" si="39"/>
        <v>0</v>
      </c>
    </row>
    <row r="123" spans="1:24" ht="20.100000000000001" customHeight="1" outlineLevel="1" x14ac:dyDescent="0.2">
      <c r="A123" s="26" t="s">
        <v>328</v>
      </c>
      <c r="B123" s="30">
        <v>112</v>
      </c>
      <c r="C123" s="30" t="str">
        <f t="shared" si="34"/>
        <v>3</v>
      </c>
      <c r="D123" s="30" t="str">
        <f t="shared" si="35"/>
        <v>32</v>
      </c>
      <c r="E123" s="26" t="str">
        <f t="shared" si="36"/>
        <v>329</v>
      </c>
      <c r="F123" s="26" t="s">
        <v>154</v>
      </c>
      <c r="G123" s="26" t="s">
        <v>220</v>
      </c>
      <c r="H123" s="26" t="s">
        <v>156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8">
        <v>0</v>
      </c>
      <c r="Q123" s="27">
        <f t="shared" si="37"/>
        <v>0</v>
      </c>
      <c r="R123" s="27"/>
      <c r="S123" s="27">
        <f t="shared" si="38"/>
        <v>0</v>
      </c>
      <c r="T123" s="27"/>
      <c r="U123" s="27">
        <f t="shared" si="39"/>
        <v>0</v>
      </c>
    </row>
    <row r="124" spans="1:24" ht="20.100000000000001" customHeight="1" x14ac:dyDescent="0.2">
      <c r="F124" s="216" t="s">
        <v>129</v>
      </c>
      <c r="G124" s="216"/>
      <c r="H124" s="216"/>
      <c r="I124" s="52">
        <f>SUMIFS(I125:I292,$A125:$A292,"A212402",$B125:$B292,"431")</f>
        <v>56300</v>
      </c>
      <c r="J124" s="52">
        <f t="shared" ref="J124:U124" si="40">SUMIFS(J125:J292,$A125:$A292,"A212402",$B125:$B292,"431")</f>
        <v>94772.010000000009</v>
      </c>
      <c r="K124" s="52">
        <f t="shared" si="40"/>
        <v>24085.17</v>
      </c>
      <c r="L124" s="52">
        <f t="shared" si="40"/>
        <v>0</v>
      </c>
      <c r="M124" s="52">
        <f t="shared" si="40"/>
        <v>32214.83</v>
      </c>
      <c r="N124" s="52">
        <f t="shared" si="40"/>
        <v>0</v>
      </c>
      <c r="O124" s="52">
        <f t="shared" si="40"/>
        <v>24085.17</v>
      </c>
      <c r="P124" s="53">
        <v>0.57199999999999995</v>
      </c>
      <c r="Q124" s="52">
        <f t="shared" si="40"/>
        <v>94772.010000000009</v>
      </c>
      <c r="R124" s="52">
        <f t="shared" si="40"/>
        <v>0</v>
      </c>
      <c r="S124" s="52">
        <f t="shared" si="40"/>
        <v>94772.010000000009</v>
      </c>
      <c r="T124" s="52">
        <f t="shared" si="40"/>
        <v>94772.010000000009</v>
      </c>
      <c r="U124" s="52">
        <f t="shared" si="40"/>
        <v>0</v>
      </c>
      <c r="V124" s="32"/>
      <c r="W124" s="38" t="s">
        <v>347</v>
      </c>
      <c r="X124" s="38" t="s">
        <v>349</v>
      </c>
    </row>
    <row r="125" spans="1:24" ht="20.100000000000001" customHeight="1" outlineLevel="1" x14ac:dyDescent="0.2">
      <c r="A125" s="26" t="s">
        <v>328</v>
      </c>
      <c r="B125" s="30">
        <v>431</v>
      </c>
      <c r="C125" s="30" t="str">
        <f t="shared" ref="C125:C136" si="41">LEFT(F125,1)</f>
        <v>3</v>
      </c>
      <c r="D125" s="30" t="str">
        <f t="shared" ref="D125:D136" si="42">LEFT(F125,2)</f>
        <v>32</v>
      </c>
      <c r="E125" s="26" t="str">
        <f t="shared" si="36"/>
        <v>321</v>
      </c>
      <c r="F125" s="26" t="s">
        <v>130</v>
      </c>
      <c r="G125" s="26" t="s">
        <v>221</v>
      </c>
      <c r="H125" s="26" t="s">
        <v>132</v>
      </c>
      <c r="I125" s="27">
        <v>20000</v>
      </c>
      <c r="J125" s="27">
        <f>T125</f>
        <v>16665.310000000001</v>
      </c>
      <c r="K125" s="27">
        <v>8928.18</v>
      </c>
      <c r="L125" s="27">
        <v>0</v>
      </c>
      <c r="M125" s="27">
        <v>11071.82</v>
      </c>
      <c r="N125" s="27">
        <v>0</v>
      </c>
      <c r="O125" s="27">
        <v>8928.18</v>
      </c>
      <c r="P125" s="28">
        <v>0.55400000000000005</v>
      </c>
      <c r="Q125" s="27">
        <f t="shared" ref="Q125:Q136" si="43">J125</f>
        <v>16665.310000000001</v>
      </c>
      <c r="R125" s="27"/>
      <c r="S125" s="27">
        <f t="shared" ref="S125:S136" si="44">R125+Q125</f>
        <v>16665.310000000001</v>
      </c>
      <c r="T125" s="27">
        <v>16665.310000000001</v>
      </c>
      <c r="U125" s="27">
        <f t="shared" ref="U125:U136" si="45">S125-T125</f>
        <v>0</v>
      </c>
    </row>
    <row r="126" spans="1:24" ht="20.100000000000001" customHeight="1" outlineLevel="1" x14ac:dyDescent="0.2">
      <c r="A126" s="26" t="s">
        <v>328</v>
      </c>
      <c r="B126" s="30">
        <v>431</v>
      </c>
      <c r="C126" s="30" t="str">
        <f t="shared" si="41"/>
        <v>3</v>
      </c>
      <c r="D126" s="30" t="str">
        <f t="shared" si="42"/>
        <v>32</v>
      </c>
      <c r="E126" s="26" t="str">
        <f t="shared" si="36"/>
        <v>321</v>
      </c>
      <c r="F126" s="26" t="s">
        <v>69</v>
      </c>
      <c r="G126" s="26" t="s">
        <v>222</v>
      </c>
      <c r="H126" s="26" t="s">
        <v>71</v>
      </c>
      <c r="I126" s="27">
        <v>2000</v>
      </c>
      <c r="J126" s="27">
        <f t="shared" ref="J126:J154" si="46">T126</f>
        <v>1411.47</v>
      </c>
      <c r="K126" s="27">
        <v>628.53</v>
      </c>
      <c r="L126" s="27">
        <v>0</v>
      </c>
      <c r="M126" s="27">
        <v>1371.47</v>
      </c>
      <c r="N126" s="27">
        <v>0</v>
      </c>
      <c r="O126" s="27">
        <v>628.53</v>
      </c>
      <c r="P126" s="28">
        <v>0.68600000000000005</v>
      </c>
      <c r="Q126" s="27">
        <f t="shared" si="43"/>
        <v>1411.47</v>
      </c>
      <c r="R126" s="27"/>
      <c r="S126" s="27">
        <f t="shared" si="44"/>
        <v>1411.47</v>
      </c>
      <c r="T126" s="27">
        <v>1411.47</v>
      </c>
      <c r="U126" s="27">
        <f t="shared" si="45"/>
        <v>0</v>
      </c>
    </row>
    <row r="127" spans="1:24" ht="20.100000000000001" customHeight="1" outlineLevel="1" x14ac:dyDescent="0.2">
      <c r="A127" s="26" t="s">
        <v>328</v>
      </c>
      <c r="B127" s="30">
        <v>431</v>
      </c>
      <c r="C127" s="30" t="str">
        <f t="shared" si="41"/>
        <v>3</v>
      </c>
      <c r="D127" s="30" t="str">
        <f t="shared" si="42"/>
        <v>32</v>
      </c>
      <c r="E127" s="26" t="str">
        <f t="shared" si="36"/>
        <v>322</v>
      </c>
      <c r="F127" s="26" t="s">
        <v>72</v>
      </c>
      <c r="G127" s="26" t="s">
        <v>223</v>
      </c>
      <c r="H127" s="26" t="s">
        <v>74</v>
      </c>
      <c r="I127" s="27">
        <v>1000</v>
      </c>
      <c r="J127" s="27">
        <f t="shared" si="46"/>
        <v>37892.080000000002</v>
      </c>
      <c r="K127" s="27">
        <v>-667.43</v>
      </c>
      <c r="L127" s="27">
        <v>0</v>
      </c>
      <c r="M127" s="27">
        <v>1667.43</v>
      </c>
      <c r="N127" s="27">
        <v>0</v>
      </c>
      <c r="O127" s="27">
        <v>-667.43</v>
      </c>
      <c r="P127" s="28">
        <v>1.667</v>
      </c>
      <c r="Q127" s="27">
        <f t="shared" si="43"/>
        <v>37892.080000000002</v>
      </c>
      <c r="R127" s="27"/>
      <c r="S127" s="27">
        <f t="shared" si="44"/>
        <v>37892.080000000002</v>
      </c>
      <c r="T127" s="27">
        <v>37892.080000000002</v>
      </c>
      <c r="U127" s="27">
        <f t="shared" si="45"/>
        <v>0</v>
      </c>
    </row>
    <row r="128" spans="1:24" ht="20.100000000000001" customHeight="1" outlineLevel="1" x14ac:dyDescent="0.2">
      <c r="A128" s="26" t="s">
        <v>328</v>
      </c>
      <c r="B128" s="30">
        <v>431</v>
      </c>
      <c r="C128" s="30" t="str">
        <f t="shared" si="41"/>
        <v>3</v>
      </c>
      <c r="D128" s="30" t="str">
        <f t="shared" si="42"/>
        <v>32</v>
      </c>
      <c r="E128" s="26" t="str">
        <f t="shared" si="36"/>
        <v>322</v>
      </c>
      <c r="F128" s="26" t="s">
        <v>75</v>
      </c>
      <c r="G128" s="26" t="s">
        <v>224</v>
      </c>
      <c r="H128" s="26" t="s">
        <v>77</v>
      </c>
      <c r="I128" s="27">
        <v>1000</v>
      </c>
      <c r="J128" s="27">
        <f t="shared" si="46"/>
        <v>1151.2</v>
      </c>
      <c r="K128" s="27">
        <v>192.01</v>
      </c>
      <c r="L128" s="27">
        <v>0</v>
      </c>
      <c r="M128" s="27">
        <v>807.99</v>
      </c>
      <c r="N128" s="27">
        <v>0</v>
      </c>
      <c r="O128" s="27">
        <v>192.01</v>
      </c>
      <c r="P128" s="28">
        <v>0.80800000000000005</v>
      </c>
      <c r="Q128" s="27">
        <f t="shared" si="43"/>
        <v>1151.2</v>
      </c>
      <c r="R128" s="27"/>
      <c r="S128" s="27">
        <f t="shared" si="44"/>
        <v>1151.2</v>
      </c>
      <c r="T128" s="27">
        <v>1151.2</v>
      </c>
      <c r="U128" s="27">
        <f t="shared" si="45"/>
        <v>0</v>
      </c>
    </row>
    <row r="129" spans="1:24" ht="20.100000000000001" customHeight="1" outlineLevel="1" x14ac:dyDescent="0.2">
      <c r="A129" s="26" t="s">
        <v>328</v>
      </c>
      <c r="B129" s="30">
        <v>431</v>
      </c>
      <c r="C129" s="30" t="str">
        <f t="shared" si="41"/>
        <v>3</v>
      </c>
      <c r="D129" s="30" t="str">
        <f t="shared" si="42"/>
        <v>32</v>
      </c>
      <c r="E129" s="26" t="str">
        <f t="shared" si="36"/>
        <v>322</v>
      </c>
      <c r="F129" s="26" t="s">
        <v>84</v>
      </c>
      <c r="G129" s="26" t="s">
        <v>225</v>
      </c>
      <c r="H129" s="26" t="s">
        <v>86</v>
      </c>
      <c r="I129" s="27">
        <v>1000</v>
      </c>
      <c r="J129" s="27">
        <f t="shared" si="46"/>
        <v>575.54999999999995</v>
      </c>
      <c r="K129" s="27">
        <v>594.5</v>
      </c>
      <c r="L129" s="27">
        <v>0</v>
      </c>
      <c r="M129" s="27">
        <v>405.5</v>
      </c>
      <c r="N129" s="27">
        <v>0</v>
      </c>
      <c r="O129" s="27">
        <v>594.5</v>
      </c>
      <c r="P129" s="28">
        <v>0.40600000000000003</v>
      </c>
      <c r="Q129" s="27">
        <f t="shared" si="43"/>
        <v>575.54999999999995</v>
      </c>
      <c r="R129" s="27"/>
      <c r="S129" s="27">
        <f t="shared" si="44"/>
        <v>575.54999999999995</v>
      </c>
      <c r="T129" s="27">
        <v>575.54999999999995</v>
      </c>
      <c r="U129" s="27">
        <f t="shared" si="45"/>
        <v>0</v>
      </c>
    </row>
    <row r="130" spans="1:24" ht="20.100000000000001" customHeight="1" outlineLevel="1" x14ac:dyDescent="0.2">
      <c r="A130" s="26" t="s">
        <v>328</v>
      </c>
      <c r="B130" s="30">
        <v>431</v>
      </c>
      <c r="C130" s="30" t="str">
        <f t="shared" si="41"/>
        <v>3</v>
      </c>
      <c r="D130" s="30" t="str">
        <f t="shared" si="42"/>
        <v>32</v>
      </c>
      <c r="E130" s="26" t="str">
        <f t="shared" si="36"/>
        <v>323</v>
      </c>
      <c r="F130" s="26" t="s">
        <v>87</v>
      </c>
      <c r="G130" s="26" t="s">
        <v>226</v>
      </c>
      <c r="H130" s="26" t="s">
        <v>89</v>
      </c>
      <c r="I130" s="27">
        <v>500</v>
      </c>
      <c r="J130" s="27">
        <f t="shared" si="46"/>
        <v>44.29</v>
      </c>
      <c r="K130" s="27">
        <v>490.71</v>
      </c>
      <c r="L130" s="27">
        <v>0</v>
      </c>
      <c r="M130" s="27">
        <v>9.2899999999999991</v>
      </c>
      <c r="N130" s="27">
        <v>0</v>
      </c>
      <c r="O130" s="27">
        <v>490.71</v>
      </c>
      <c r="P130" s="28">
        <v>1.9E-2</v>
      </c>
      <c r="Q130" s="27">
        <f t="shared" si="43"/>
        <v>44.29</v>
      </c>
      <c r="R130" s="27"/>
      <c r="S130" s="27">
        <f t="shared" si="44"/>
        <v>44.29</v>
      </c>
      <c r="T130" s="27">
        <v>44.29</v>
      </c>
      <c r="U130" s="27">
        <f t="shared" si="45"/>
        <v>0</v>
      </c>
    </row>
    <row r="131" spans="1:24" ht="20.100000000000001" customHeight="1" outlineLevel="1" x14ac:dyDescent="0.2">
      <c r="A131" s="26" t="s">
        <v>328</v>
      </c>
      <c r="B131" s="30">
        <v>431</v>
      </c>
      <c r="C131" s="30" t="str">
        <f t="shared" si="41"/>
        <v>3</v>
      </c>
      <c r="D131" s="30" t="str">
        <f t="shared" si="42"/>
        <v>32</v>
      </c>
      <c r="E131" s="26" t="str">
        <f t="shared" si="36"/>
        <v>323</v>
      </c>
      <c r="F131" s="26" t="s">
        <v>91</v>
      </c>
      <c r="G131" s="26" t="s">
        <v>227</v>
      </c>
      <c r="H131" s="26" t="s">
        <v>93</v>
      </c>
      <c r="I131" s="27">
        <v>700</v>
      </c>
      <c r="J131" s="27">
        <f t="shared" si="46"/>
        <v>0</v>
      </c>
      <c r="K131" s="27">
        <v>700</v>
      </c>
      <c r="L131" s="27">
        <v>0</v>
      </c>
      <c r="M131" s="27">
        <v>0</v>
      </c>
      <c r="N131" s="27">
        <v>0</v>
      </c>
      <c r="O131" s="27">
        <v>700</v>
      </c>
      <c r="P131" s="28">
        <v>0</v>
      </c>
      <c r="Q131" s="27">
        <f t="shared" si="43"/>
        <v>0</v>
      </c>
      <c r="R131" s="27"/>
      <c r="S131" s="27">
        <f t="shared" si="44"/>
        <v>0</v>
      </c>
      <c r="T131" s="27"/>
      <c r="U131" s="27">
        <f t="shared" si="45"/>
        <v>0</v>
      </c>
    </row>
    <row r="132" spans="1:24" ht="20.100000000000001" customHeight="1" outlineLevel="1" x14ac:dyDescent="0.2">
      <c r="A132" s="26" t="s">
        <v>328</v>
      </c>
      <c r="B132" s="30">
        <v>431</v>
      </c>
      <c r="C132" s="30" t="str">
        <f t="shared" si="41"/>
        <v>3</v>
      </c>
      <c r="D132" s="30" t="str">
        <f t="shared" si="42"/>
        <v>32</v>
      </c>
      <c r="E132" s="26" t="str">
        <f t="shared" si="36"/>
        <v>323</v>
      </c>
      <c r="F132" s="26" t="s">
        <v>97</v>
      </c>
      <c r="G132" s="26" t="s">
        <v>228</v>
      </c>
      <c r="H132" s="26" t="s">
        <v>99</v>
      </c>
      <c r="I132" s="27">
        <v>0</v>
      </c>
      <c r="J132" s="27">
        <f t="shared" si="46"/>
        <v>219.65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8">
        <v>0</v>
      </c>
      <c r="Q132" s="27">
        <f t="shared" si="43"/>
        <v>219.65</v>
      </c>
      <c r="R132" s="27"/>
      <c r="S132" s="27">
        <f t="shared" si="44"/>
        <v>219.65</v>
      </c>
      <c r="T132" s="27">
        <v>219.65</v>
      </c>
      <c r="U132" s="27">
        <f t="shared" si="45"/>
        <v>0</v>
      </c>
    </row>
    <row r="133" spans="1:24" ht="20.100000000000001" customHeight="1" outlineLevel="1" x14ac:dyDescent="0.2">
      <c r="A133" s="26" t="s">
        <v>328</v>
      </c>
      <c r="B133" s="30">
        <v>431</v>
      </c>
      <c r="C133" s="30" t="str">
        <f t="shared" si="41"/>
        <v>3</v>
      </c>
      <c r="D133" s="30" t="str">
        <f t="shared" si="42"/>
        <v>32</v>
      </c>
      <c r="E133" s="26" t="str">
        <f t="shared" si="36"/>
        <v>323</v>
      </c>
      <c r="F133" s="26" t="s">
        <v>41</v>
      </c>
      <c r="G133" s="26" t="s">
        <v>229</v>
      </c>
      <c r="H133" s="26" t="s">
        <v>43</v>
      </c>
      <c r="I133" s="27">
        <v>22100</v>
      </c>
      <c r="J133" s="27">
        <f t="shared" si="46"/>
        <v>28730.21</v>
      </c>
      <c r="K133" s="27">
        <v>7802.58</v>
      </c>
      <c r="L133" s="27">
        <v>0</v>
      </c>
      <c r="M133" s="27">
        <v>14297.42</v>
      </c>
      <c r="N133" s="27">
        <v>0</v>
      </c>
      <c r="O133" s="27">
        <v>7802.58</v>
      </c>
      <c r="P133" s="28">
        <v>0.64700000000000002</v>
      </c>
      <c r="Q133" s="27">
        <f t="shared" si="43"/>
        <v>28730.21</v>
      </c>
      <c r="R133" s="27"/>
      <c r="S133" s="27">
        <f t="shared" si="44"/>
        <v>28730.21</v>
      </c>
      <c r="T133" s="27">
        <v>28730.21</v>
      </c>
      <c r="U133" s="27">
        <f t="shared" si="45"/>
        <v>0</v>
      </c>
    </row>
    <row r="134" spans="1:24" ht="20.100000000000001" customHeight="1" outlineLevel="1" x14ac:dyDescent="0.2">
      <c r="A134" s="26" t="s">
        <v>328</v>
      </c>
      <c r="B134" s="30">
        <v>431</v>
      </c>
      <c r="C134" s="30" t="str">
        <f t="shared" si="41"/>
        <v>3</v>
      </c>
      <c r="D134" s="30" t="str">
        <f t="shared" si="42"/>
        <v>32</v>
      </c>
      <c r="E134" s="26" t="str">
        <f t="shared" si="36"/>
        <v>323</v>
      </c>
      <c r="F134" s="26" t="s">
        <v>104</v>
      </c>
      <c r="G134" s="26" t="s">
        <v>230</v>
      </c>
      <c r="H134" s="26" t="s">
        <v>106</v>
      </c>
      <c r="I134" s="27">
        <v>1000</v>
      </c>
      <c r="J134" s="27">
        <f t="shared" si="46"/>
        <v>2064.25</v>
      </c>
      <c r="K134" s="27">
        <v>1000</v>
      </c>
      <c r="L134" s="27">
        <v>0</v>
      </c>
      <c r="M134" s="27">
        <v>0</v>
      </c>
      <c r="N134" s="27">
        <v>0</v>
      </c>
      <c r="O134" s="27">
        <v>1000</v>
      </c>
      <c r="P134" s="28">
        <v>0</v>
      </c>
      <c r="Q134" s="27">
        <f t="shared" si="43"/>
        <v>2064.25</v>
      </c>
      <c r="R134" s="27"/>
      <c r="S134" s="27">
        <f t="shared" si="44"/>
        <v>2064.25</v>
      </c>
      <c r="T134" s="27">
        <v>2064.25</v>
      </c>
      <c r="U134" s="27">
        <f t="shared" si="45"/>
        <v>0</v>
      </c>
    </row>
    <row r="135" spans="1:24" ht="20.100000000000001" customHeight="1" outlineLevel="1" x14ac:dyDescent="0.2">
      <c r="A135" s="26" t="s">
        <v>328</v>
      </c>
      <c r="B135" s="30">
        <v>431</v>
      </c>
      <c r="C135" s="30" t="str">
        <f t="shared" si="41"/>
        <v>3</v>
      </c>
      <c r="D135" s="30" t="str">
        <f t="shared" si="42"/>
        <v>32</v>
      </c>
      <c r="E135" s="26" t="str">
        <f t="shared" si="36"/>
        <v>323</v>
      </c>
      <c r="F135" s="26" t="s">
        <v>126</v>
      </c>
      <c r="G135" s="26" t="s">
        <v>231</v>
      </c>
      <c r="H135" s="26" t="s">
        <v>128</v>
      </c>
      <c r="I135" s="27">
        <v>4000</v>
      </c>
      <c r="J135" s="27">
        <f t="shared" si="46"/>
        <v>3418.16</v>
      </c>
      <c r="K135" s="27">
        <v>2580.67</v>
      </c>
      <c r="L135" s="27">
        <v>0</v>
      </c>
      <c r="M135" s="27">
        <v>1419.33</v>
      </c>
      <c r="N135" s="27">
        <v>0</v>
      </c>
      <c r="O135" s="27">
        <v>2580.67</v>
      </c>
      <c r="P135" s="28">
        <v>0.35499999999999998</v>
      </c>
      <c r="Q135" s="27">
        <f t="shared" si="43"/>
        <v>3418.16</v>
      </c>
      <c r="R135" s="27"/>
      <c r="S135" s="27">
        <f t="shared" si="44"/>
        <v>3418.16</v>
      </c>
      <c r="T135" s="27">
        <v>3418.16</v>
      </c>
      <c r="U135" s="27">
        <f t="shared" si="45"/>
        <v>0</v>
      </c>
    </row>
    <row r="136" spans="1:24" ht="20.100000000000001" customHeight="1" outlineLevel="1" x14ac:dyDescent="0.2">
      <c r="A136" s="26" t="s">
        <v>328</v>
      </c>
      <c r="B136" s="30">
        <v>431</v>
      </c>
      <c r="C136" s="30" t="str">
        <f t="shared" si="41"/>
        <v>3</v>
      </c>
      <c r="D136" s="30" t="str">
        <f t="shared" si="42"/>
        <v>32</v>
      </c>
      <c r="E136" s="26" t="str">
        <f t="shared" si="36"/>
        <v>329</v>
      </c>
      <c r="F136" s="26" t="s">
        <v>154</v>
      </c>
      <c r="G136" s="26" t="s">
        <v>232</v>
      </c>
      <c r="H136" s="26" t="s">
        <v>156</v>
      </c>
      <c r="I136" s="27">
        <v>3000</v>
      </c>
      <c r="J136" s="27">
        <f t="shared" si="46"/>
        <v>2599.84</v>
      </c>
      <c r="K136" s="27">
        <v>1835.42</v>
      </c>
      <c r="L136" s="27">
        <v>0</v>
      </c>
      <c r="M136" s="27">
        <v>1164.58</v>
      </c>
      <c r="N136" s="27">
        <v>0</v>
      </c>
      <c r="O136" s="27">
        <v>1835.42</v>
      </c>
      <c r="P136" s="28">
        <v>0.38800000000000001</v>
      </c>
      <c r="Q136" s="27">
        <f t="shared" si="43"/>
        <v>2599.84</v>
      </c>
      <c r="R136" s="27"/>
      <c r="S136" s="27">
        <f t="shared" si="44"/>
        <v>2599.84</v>
      </c>
      <c r="T136" s="27">
        <v>2599.84</v>
      </c>
      <c r="U136" s="27">
        <f t="shared" si="45"/>
        <v>0</v>
      </c>
      <c r="W136" s="56" t="s">
        <v>354</v>
      </c>
      <c r="X136" s="56" t="s">
        <v>353</v>
      </c>
    </row>
    <row r="137" spans="1:24" ht="20.100000000000001" customHeight="1" x14ac:dyDescent="0.2">
      <c r="F137" s="216" t="s">
        <v>26</v>
      </c>
      <c r="G137" s="216"/>
      <c r="H137" s="216"/>
      <c r="I137" s="52">
        <f>SUMIFS(I138:I305,$A138:$A305,"A212402",$B138:$B305,"521")</f>
        <v>73100</v>
      </c>
      <c r="J137" s="52">
        <f t="shared" ref="J137:U137" si="47">SUMIFS(J138:J305,$A138:$A305,"A212402",$B138:$B305,"521")</f>
        <v>70183.179999999993</v>
      </c>
      <c r="K137" s="52">
        <f t="shared" si="47"/>
        <v>53819.33</v>
      </c>
      <c r="L137" s="52">
        <f t="shared" si="47"/>
        <v>0</v>
      </c>
      <c r="M137" s="52">
        <f t="shared" si="47"/>
        <v>19280.670000000002</v>
      </c>
      <c r="N137" s="52">
        <f t="shared" si="47"/>
        <v>0</v>
      </c>
      <c r="O137" s="52">
        <f t="shared" si="47"/>
        <v>53819.33</v>
      </c>
      <c r="P137" s="53">
        <v>0.26400000000000001</v>
      </c>
      <c r="Q137" s="52">
        <f t="shared" si="47"/>
        <v>70183.179999999993</v>
      </c>
      <c r="R137" s="52">
        <f t="shared" si="47"/>
        <v>0</v>
      </c>
      <c r="S137" s="52">
        <f t="shared" si="47"/>
        <v>70183.179999999993</v>
      </c>
      <c r="T137" s="52">
        <f t="shared" si="47"/>
        <v>70183.179999999993</v>
      </c>
      <c r="U137" s="52">
        <f t="shared" si="47"/>
        <v>0</v>
      </c>
      <c r="V137" s="32"/>
      <c r="W137" s="52">
        <f>SUMIFS(W138:W305,$A138:$A305,"A212402",$B138:$B305,"521")</f>
        <v>65022.73</v>
      </c>
      <c r="X137" s="52">
        <f>SUMIFS(X138:X305,$A138:$A305,"A212402",$B138:$B305,"521")</f>
        <v>5160.45</v>
      </c>
    </row>
    <row r="138" spans="1:24" ht="20.100000000000001" customHeight="1" outlineLevel="1" x14ac:dyDescent="0.2">
      <c r="A138" s="26" t="s">
        <v>328</v>
      </c>
      <c r="B138" s="30">
        <v>521</v>
      </c>
      <c r="C138" s="30" t="str">
        <f t="shared" ref="C138:C154" si="48">LEFT(F138,1)</f>
        <v>3</v>
      </c>
      <c r="D138" s="30" t="str">
        <f t="shared" ref="D138:D154" si="49">LEFT(F138,2)</f>
        <v>32</v>
      </c>
      <c r="E138" s="26" t="str">
        <f t="shared" si="36"/>
        <v>321</v>
      </c>
      <c r="F138" s="26" t="s">
        <v>130</v>
      </c>
      <c r="G138" s="26" t="s">
        <v>233</v>
      </c>
      <c r="H138" s="26" t="s">
        <v>132</v>
      </c>
      <c r="I138" s="27">
        <v>6000</v>
      </c>
      <c r="J138" s="27">
        <f t="shared" si="46"/>
        <v>3575.79</v>
      </c>
      <c r="K138" s="27">
        <v>4294.21</v>
      </c>
      <c r="L138" s="27">
        <v>0</v>
      </c>
      <c r="M138" s="27">
        <v>1705.79</v>
      </c>
      <c r="N138" s="27">
        <v>0</v>
      </c>
      <c r="O138" s="27">
        <v>4294.21</v>
      </c>
      <c r="P138" s="28">
        <v>0.28399999999999997</v>
      </c>
      <c r="Q138" s="27">
        <f t="shared" ref="Q138:Q154" si="50">J138</f>
        <v>3575.79</v>
      </c>
      <c r="R138" s="27"/>
      <c r="S138" s="27">
        <f t="shared" ref="S138:S154" si="51">R138+Q138</f>
        <v>3575.79</v>
      </c>
      <c r="T138" s="27">
        <f>W138+X138</f>
        <v>3575.79</v>
      </c>
      <c r="U138" s="27">
        <f t="shared" ref="U138:U154" si="52">S138-T138</f>
        <v>0</v>
      </c>
      <c r="W138" s="27">
        <v>3575.79</v>
      </c>
      <c r="X138" s="27"/>
    </row>
    <row r="139" spans="1:24" ht="20.100000000000001" customHeight="1" outlineLevel="1" x14ac:dyDescent="0.2">
      <c r="A139" s="26" t="s">
        <v>328</v>
      </c>
      <c r="B139" s="30">
        <v>521</v>
      </c>
      <c r="C139" s="30" t="str">
        <f t="shared" si="48"/>
        <v>3</v>
      </c>
      <c r="D139" s="30" t="str">
        <f t="shared" si="49"/>
        <v>32</v>
      </c>
      <c r="E139" s="26" t="str">
        <f t="shared" si="36"/>
        <v>321</v>
      </c>
      <c r="F139" s="26" t="s">
        <v>69</v>
      </c>
      <c r="G139" s="26" t="s">
        <v>234</v>
      </c>
      <c r="H139" s="26" t="s">
        <v>71</v>
      </c>
      <c r="I139" s="27">
        <v>4000</v>
      </c>
      <c r="J139" s="27">
        <f t="shared" si="46"/>
        <v>1395</v>
      </c>
      <c r="K139" s="27">
        <v>2575</v>
      </c>
      <c r="L139" s="27">
        <v>0</v>
      </c>
      <c r="M139" s="27">
        <v>1425</v>
      </c>
      <c r="N139" s="27">
        <v>0</v>
      </c>
      <c r="O139" s="27">
        <v>2575</v>
      </c>
      <c r="P139" s="28">
        <v>0.35599999999999998</v>
      </c>
      <c r="Q139" s="27">
        <f t="shared" si="50"/>
        <v>1395</v>
      </c>
      <c r="R139" s="27"/>
      <c r="S139" s="27">
        <f t="shared" si="51"/>
        <v>1395</v>
      </c>
      <c r="T139" s="27">
        <f t="shared" ref="T139:T154" si="53">W139+X139</f>
        <v>1395</v>
      </c>
      <c r="U139" s="27">
        <f t="shared" si="52"/>
        <v>0</v>
      </c>
      <c r="W139" s="27">
        <v>1395</v>
      </c>
      <c r="X139" s="27"/>
    </row>
    <row r="140" spans="1:24" ht="20.100000000000001" customHeight="1" outlineLevel="1" x14ac:dyDescent="0.2">
      <c r="A140" s="26" t="s">
        <v>328</v>
      </c>
      <c r="B140" s="30">
        <v>521</v>
      </c>
      <c r="C140" s="30" t="str">
        <f t="shared" si="48"/>
        <v>3</v>
      </c>
      <c r="D140" s="30" t="str">
        <f t="shared" si="49"/>
        <v>32</v>
      </c>
      <c r="E140" s="26" t="str">
        <f t="shared" si="36"/>
        <v>322</v>
      </c>
      <c r="F140" s="26" t="s">
        <v>72</v>
      </c>
      <c r="G140" s="26" t="s">
        <v>235</v>
      </c>
      <c r="H140" s="26" t="s">
        <v>74</v>
      </c>
      <c r="I140" s="27">
        <v>0</v>
      </c>
      <c r="J140" s="27">
        <f t="shared" si="46"/>
        <v>0</v>
      </c>
      <c r="K140" s="27">
        <v>-221.98</v>
      </c>
      <c r="L140" s="27">
        <v>0</v>
      </c>
      <c r="M140" s="27">
        <v>221.98</v>
      </c>
      <c r="N140" s="27">
        <v>0</v>
      </c>
      <c r="O140" s="27">
        <v>-221.98</v>
      </c>
      <c r="P140" s="28">
        <v>0</v>
      </c>
      <c r="Q140" s="27">
        <f t="shared" si="50"/>
        <v>0</v>
      </c>
      <c r="R140" s="27"/>
      <c r="S140" s="27">
        <f t="shared" si="51"/>
        <v>0</v>
      </c>
      <c r="T140" s="27">
        <f t="shared" si="53"/>
        <v>0</v>
      </c>
      <c r="U140" s="27">
        <f t="shared" si="52"/>
        <v>0</v>
      </c>
      <c r="W140" s="27"/>
      <c r="X140" s="27"/>
    </row>
    <row r="141" spans="1:24" ht="20.100000000000001" customHeight="1" outlineLevel="1" x14ac:dyDescent="0.2">
      <c r="A141" s="26" t="s">
        <v>328</v>
      </c>
      <c r="B141" s="30">
        <v>521</v>
      </c>
      <c r="C141" s="30" t="str">
        <f t="shared" si="48"/>
        <v>3</v>
      </c>
      <c r="D141" s="30" t="str">
        <f t="shared" si="49"/>
        <v>32</v>
      </c>
      <c r="E141" s="26" t="str">
        <f t="shared" si="36"/>
        <v>322</v>
      </c>
      <c r="F141" s="26" t="s">
        <v>75</v>
      </c>
      <c r="G141" s="26" t="s">
        <v>236</v>
      </c>
      <c r="H141" s="26" t="s">
        <v>77</v>
      </c>
      <c r="I141" s="27">
        <v>2000</v>
      </c>
      <c r="J141" s="27">
        <f t="shared" si="46"/>
        <v>636.55999999999995</v>
      </c>
      <c r="K141" s="27">
        <v>2000</v>
      </c>
      <c r="L141" s="27">
        <v>0</v>
      </c>
      <c r="M141" s="27">
        <v>0</v>
      </c>
      <c r="N141" s="27">
        <v>0</v>
      </c>
      <c r="O141" s="27">
        <v>2000</v>
      </c>
      <c r="P141" s="28">
        <v>0</v>
      </c>
      <c r="Q141" s="27">
        <f t="shared" si="50"/>
        <v>636.55999999999995</v>
      </c>
      <c r="R141" s="27"/>
      <c r="S141" s="27">
        <f t="shared" si="51"/>
        <v>636.55999999999995</v>
      </c>
      <c r="T141" s="27">
        <f t="shared" si="53"/>
        <v>636.55999999999995</v>
      </c>
      <c r="U141" s="27">
        <f t="shared" si="52"/>
        <v>0</v>
      </c>
      <c r="W141" s="27">
        <v>636.55999999999995</v>
      </c>
      <c r="X141" s="27"/>
    </row>
    <row r="142" spans="1:24" ht="20.100000000000001" customHeight="1" outlineLevel="1" x14ac:dyDescent="0.2">
      <c r="A142" s="26" t="s">
        <v>328</v>
      </c>
      <c r="B142" s="30">
        <v>521</v>
      </c>
      <c r="C142" s="30" t="str">
        <f t="shared" si="48"/>
        <v>3</v>
      </c>
      <c r="D142" s="30" t="str">
        <f t="shared" si="49"/>
        <v>32</v>
      </c>
      <c r="E142" s="26" t="str">
        <f t="shared" si="36"/>
        <v>322</v>
      </c>
      <c r="F142" s="26" t="s">
        <v>78</v>
      </c>
      <c r="G142" s="26" t="s">
        <v>237</v>
      </c>
      <c r="H142" s="26" t="s">
        <v>80</v>
      </c>
      <c r="I142" s="27">
        <v>0</v>
      </c>
      <c r="J142" s="27">
        <f t="shared" si="46"/>
        <v>364.8</v>
      </c>
      <c r="K142" s="27">
        <v>0</v>
      </c>
      <c r="L142" s="27">
        <v>0</v>
      </c>
      <c r="M142" s="27">
        <v>0</v>
      </c>
      <c r="N142" s="27">
        <v>0</v>
      </c>
      <c r="O142" s="27">
        <v>0</v>
      </c>
      <c r="P142" s="28">
        <v>0</v>
      </c>
      <c r="Q142" s="27">
        <f t="shared" si="50"/>
        <v>364.8</v>
      </c>
      <c r="R142" s="27"/>
      <c r="S142" s="27">
        <f t="shared" si="51"/>
        <v>364.8</v>
      </c>
      <c r="T142" s="27">
        <f t="shared" si="53"/>
        <v>364.8</v>
      </c>
      <c r="U142" s="27">
        <f t="shared" si="52"/>
        <v>0</v>
      </c>
      <c r="W142" s="27">
        <v>364.8</v>
      </c>
      <c r="X142" s="27"/>
    </row>
    <row r="143" spans="1:24" ht="20.100000000000001" customHeight="1" outlineLevel="1" x14ac:dyDescent="0.2">
      <c r="A143" s="26" t="s">
        <v>328</v>
      </c>
      <c r="B143" s="30">
        <v>521</v>
      </c>
      <c r="C143" s="30" t="str">
        <f t="shared" si="48"/>
        <v>3</v>
      </c>
      <c r="D143" s="30" t="str">
        <f t="shared" si="49"/>
        <v>32</v>
      </c>
      <c r="E143" s="26" t="str">
        <f t="shared" si="36"/>
        <v>322</v>
      </c>
      <c r="F143" s="26" t="s">
        <v>81</v>
      </c>
      <c r="G143" s="26" t="s">
        <v>238</v>
      </c>
      <c r="H143" s="26" t="s">
        <v>83</v>
      </c>
      <c r="I143" s="27">
        <v>0</v>
      </c>
      <c r="J143" s="27">
        <f t="shared" si="46"/>
        <v>0</v>
      </c>
      <c r="K143" s="27">
        <v>0</v>
      </c>
      <c r="L143" s="27">
        <v>0</v>
      </c>
      <c r="M143" s="27">
        <v>0</v>
      </c>
      <c r="N143" s="27">
        <v>0</v>
      </c>
      <c r="O143" s="27">
        <v>0</v>
      </c>
      <c r="P143" s="28">
        <v>0</v>
      </c>
      <c r="Q143" s="27">
        <f t="shared" si="50"/>
        <v>0</v>
      </c>
      <c r="R143" s="27"/>
      <c r="S143" s="27">
        <f t="shared" si="51"/>
        <v>0</v>
      </c>
      <c r="T143" s="27">
        <f t="shared" si="53"/>
        <v>0</v>
      </c>
      <c r="U143" s="27">
        <f t="shared" si="52"/>
        <v>0</v>
      </c>
      <c r="W143" s="27"/>
      <c r="X143" s="27"/>
    </row>
    <row r="144" spans="1:24" ht="20.100000000000001" customHeight="1" outlineLevel="1" x14ac:dyDescent="0.2">
      <c r="A144" s="26" t="s">
        <v>328</v>
      </c>
      <c r="B144" s="30">
        <v>521</v>
      </c>
      <c r="C144" s="30" t="str">
        <f t="shared" si="48"/>
        <v>3</v>
      </c>
      <c r="D144" s="30" t="str">
        <f t="shared" si="49"/>
        <v>32</v>
      </c>
      <c r="E144" s="26" t="str">
        <f t="shared" si="36"/>
        <v>322</v>
      </c>
      <c r="F144" s="26" t="s">
        <v>84</v>
      </c>
      <c r="G144" s="26" t="s">
        <v>239</v>
      </c>
      <c r="H144" s="26" t="s">
        <v>86</v>
      </c>
      <c r="I144" s="27">
        <v>0</v>
      </c>
      <c r="J144" s="27">
        <f t="shared" si="46"/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8">
        <v>0</v>
      </c>
      <c r="Q144" s="27">
        <f t="shared" si="50"/>
        <v>0</v>
      </c>
      <c r="R144" s="27"/>
      <c r="S144" s="27">
        <f t="shared" si="51"/>
        <v>0</v>
      </c>
      <c r="T144" s="27">
        <f t="shared" si="53"/>
        <v>0</v>
      </c>
      <c r="U144" s="27">
        <f t="shared" si="52"/>
        <v>0</v>
      </c>
      <c r="W144" s="27"/>
      <c r="X144" s="27"/>
    </row>
    <row r="145" spans="1:24" ht="20.100000000000001" customHeight="1" outlineLevel="1" x14ac:dyDescent="0.2">
      <c r="A145" s="26" t="s">
        <v>328</v>
      </c>
      <c r="B145" s="30">
        <v>521</v>
      </c>
      <c r="C145" s="30" t="str">
        <f t="shared" si="48"/>
        <v>3</v>
      </c>
      <c r="D145" s="30" t="str">
        <f t="shared" si="49"/>
        <v>32</v>
      </c>
      <c r="E145" s="26" t="str">
        <f t="shared" si="36"/>
        <v>323</v>
      </c>
      <c r="F145" s="26" t="s">
        <v>87</v>
      </c>
      <c r="G145" s="26" t="s">
        <v>240</v>
      </c>
      <c r="H145" s="26" t="s">
        <v>89</v>
      </c>
      <c r="I145" s="27">
        <v>0</v>
      </c>
      <c r="J145" s="27">
        <f t="shared" si="46"/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8">
        <v>0</v>
      </c>
      <c r="Q145" s="27">
        <f t="shared" si="50"/>
        <v>0</v>
      </c>
      <c r="R145" s="27"/>
      <c r="S145" s="27">
        <f t="shared" si="51"/>
        <v>0</v>
      </c>
      <c r="T145" s="27">
        <f t="shared" si="53"/>
        <v>0</v>
      </c>
      <c r="U145" s="27">
        <f t="shared" si="52"/>
        <v>0</v>
      </c>
      <c r="W145" s="27"/>
      <c r="X145" s="27"/>
    </row>
    <row r="146" spans="1:24" ht="20.100000000000001" customHeight="1" outlineLevel="1" x14ac:dyDescent="0.2">
      <c r="A146" s="26" t="s">
        <v>328</v>
      </c>
      <c r="B146" s="30">
        <v>521</v>
      </c>
      <c r="C146" s="30" t="str">
        <f t="shared" si="48"/>
        <v>3</v>
      </c>
      <c r="D146" s="30" t="str">
        <f t="shared" si="49"/>
        <v>32</v>
      </c>
      <c r="E146" s="26" t="str">
        <f t="shared" si="36"/>
        <v>323</v>
      </c>
      <c r="F146" s="26" t="s">
        <v>91</v>
      </c>
      <c r="G146" s="26" t="s">
        <v>241</v>
      </c>
      <c r="H146" s="26" t="s">
        <v>93</v>
      </c>
      <c r="I146" s="27">
        <v>1800</v>
      </c>
      <c r="J146" s="27">
        <f t="shared" si="46"/>
        <v>0</v>
      </c>
      <c r="K146" s="27">
        <v>1735.2</v>
      </c>
      <c r="L146" s="27">
        <v>0</v>
      </c>
      <c r="M146" s="27">
        <v>64.8</v>
      </c>
      <c r="N146" s="27">
        <v>0</v>
      </c>
      <c r="O146" s="27">
        <v>1735.2</v>
      </c>
      <c r="P146" s="28">
        <v>3.5999999999999997E-2</v>
      </c>
      <c r="Q146" s="27">
        <f t="shared" si="50"/>
        <v>0</v>
      </c>
      <c r="R146" s="27"/>
      <c r="S146" s="27">
        <f t="shared" si="51"/>
        <v>0</v>
      </c>
      <c r="T146" s="27">
        <f t="shared" si="53"/>
        <v>0</v>
      </c>
      <c r="U146" s="27">
        <f t="shared" si="52"/>
        <v>0</v>
      </c>
      <c r="W146" s="27"/>
      <c r="X146" s="27"/>
    </row>
    <row r="147" spans="1:24" ht="20.100000000000001" customHeight="1" outlineLevel="1" x14ac:dyDescent="0.2">
      <c r="A147" s="26" t="s">
        <v>328</v>
      </c>
      <c r="B147" s="30">
        <v>521</v>
      </c>
      <c r="C147" s="30" t="str">
        <f t="shared" si="48"/>
        <v>3</v>
      </c>
      <c r="D147" s="30" t="str">
        <f t="shared" si="49"/>
        <v>32</v>
      </c>
      <c r="E147" s="26" t="str">
        <f t="shared" si="36"/>
        <v>323</v>
      </c>
      <c r="F147" s="26" t="s">
        <v>97</v>
      </c>
      <c r="G147" s="26" t="s">
        <v>242</v>
      </c>
      <c r="H147" s="26" t="s">
        <v>99</v>
      </c>
      <c r="I147" s="27">
        <v>0</v>
      </c>
      <c r="J147" s="27">
        <f t="shared" si="46"/>
        <v>0</v>
      </c>
      <c r="K147" s="27">
        <v>0</v>
      </c>
      <c r="L147" s="27">
        <v>0</v>
      </c>
      <c r="M147" s="27">
        <v>0</v>
      </c>
      <c r="N147" s="27">
        <v>0</v>
      </c>
      <c r="O147" s="27">
        <v>0</v>
      </c>
      <c r="P147" s="28">
        <v>0</v>
      </c>
      <c r="Q147" s="27">
        <f t="shared" si="50"/>
        <v>0</v>
      </c>
      <c r="R147" s="27"/>
      <c r="S147" s="27">
        <f t="shared" si="51"/>
        <v>0</v>
      </c>
      <c r="T147" s="27">
        <f t="shared" si="53"/>
        <v>0</v>
      </c>
      <c r="U147" s="27">
        <f t="shared" si="52"/>
        <v>0</v>
      </c>
      <c r="W147" s="27"/>
      <c r="X147" s="27"/>
    </row>
    <row r="148" spans="1:24" ht="20.100000000000001" customHeight="1" outlineLevel="1" x14ac:dyDescent="0.2">
      <c r="A148" s="26" t="s">
        <v>328</v>
      </c>
      <c r="B148" s="30">
        <v>521</v>
      </c>
      <c r="C148" s="30" t="str">
        <f t="shared" si="48"/>
        <v>3</v>
      </c>
      <c r="D148" s="30" t="str">
        <f t="shared" si="49"/>
        <v>32</v>
      </c>
      <c r="E148" s="26" t="str">
        <f t="shared" si="36"/>
        <v>323</v>
      </c>
      <c r="F148" s="26" t="s">
        <v>41</v>
      </c>
      <c r="G148" s="26" t="s">
        <v>243</v>
      </c>
      <c r="H148" s="26" t="s">
        <v>43</v>
      </c>
      <c r="I148" s="27">
        <v>28500</v>
      </c>
      <c r="J148" s="27">
        <f t="shared" si="46"/>
        <v>27515.66</v>
      </c>
      <c r="K148" s="27">
        <v>18163.580000000002</v>
      </c>
      <c r="L148" s="27">
        <v>0</v>
      </c>
      <c r="M148" s="27">
        <v>10336.42</v>
      </c>
      <c r="N148" s="27">
        <v>0</v>
      </c>
      <c r="O148" s="27">
        <v>18163.580000000002</v>
      </c>
      <c r="P148" s="28">
        <v>0.36299999999999999</v>
      </c>
      <c r="Q148" s="27">
        <f t="shared" si="50"/>
        <v>27515.66</v>
      </c>
      <c r="R148" s="27"/>
      <c r="S148" s="27">
        <f t="shared" si="51"/>
        <v>27515.66</v>
      </c>
      <c r="T148" s="27">
        <f t="shared" si="53"/>
        <v>27515.66</v>
      </c>
      <c r="U148" s="27">
        <f t="shared" si="52"/>
        <v>0</v>
      </c>
      <c r="W148" s="27">
        <v>26500.66</v>
      </c>
      <c r="X148" s="27">
        <v>1015</v>
      </c>
    </row>
    <row r="149" spans="1:24" ht="20.100000000000001" customHeight="1" outlineLevel="1" x14ac:dyDescent="0.2">
      <c r="A149" s="26" t="s">
        <v>328</v>
      </c>
      <c r="B149" s="30">
        <v>521</v>
      </c>
      <c r="C149" s="30" t="str">
        <f t="shared" si="48"/>
        <v>3</v>
      </c>
      <c r="D149" s="30" t="str">
        <f t="shared" si="49"/>
        <v>32</v>
      </c>
      <c r="E149" s="26" t="str">
        <f t="shared" si="36"/>
        <v>323</v>
      </c>
      <c r="F149" s="26" t="s">
        <v>104</v>
      </c>
      <c r="G149" s="26" t="s">
        <v>244</v>
      </c>
      <c r="H149" s="26" t="s">
        <v>106</v>
      </c>
      <c r="I149" s="27">
        <v>13500</v>
      </c>
      <c r="J149" s="27">
        <f t="shared" si="46"/>
        <v>14082.5</v>
      </c>
      <c r="K149" s="27">
        <v>13417.5</v>
      </c>
      <c r="L149" s="27">
        <v>0</v>
      </c>
      <c r="M149" s="27">
        <v>82.5</v>
      </c>
      <c r="N149" s="27">
        <v>0</v>
      </c>
      <c r="O149" s="27">
        <v>13417.5</v>
      </c>
      <c r="P149" s="28">
        <v>6.0000000000000001E-3</v>
      </c>
      <c r="Q149" s="27">
        <f t="shared" si="50"/>
        <v>14082.5</v>
      </c>
      <c r="R149" s="27"/>
      <c r="S149" s="27">
        <f t="shared" si="51"/>
        <v>14082.5</v>
      </c>
      <c r="T149" s="27">
        <f t="shared" si="53"/>
        <v>14082.5</v>
      </c>
      <c r="U149" s="27">
        <f t="shared" si="52"/>
        <v>0</v>
      </c>
      <c r="W149" s="27">
        <v>14082.5</v>
      </c>
      <c r="X149" s="27"/>
    </row>
    <row r="150" spans="1:24" ht="20.100000000000001" customHeight="1" outlineLevel="1" x14ac:dyDescent="0.2">
      <c r="A150" s="26" t="s">
        <v>328</v>
      </c>
      <c r="B150" s="30">
        <v>521</v>
      </c>
      <c r="C150" s="30" t="str">
        <f t="shared" si="48"/>
        <v>3</v>
      </c>
      <c r="D150" s="30" t="str">
        <f t="shared" si="49"/>
        <v>32</v>
      </c>
      <c r="E150" s="26" t="str">
        <f t="shared" si="36"/>
        <v>323</v>
      </c>
      <c r="F150" s="26" t="s">
        <v>126</v>
      </c>
      <c r="G150" s="26" t="s">
        <v>245</v>
      </c>
      <c r="H150" s="26" t="s">
        <v>128</v>
      </c>
      <c r="I150" s="27">
        <v>11000</v>
      </c>
      <c r="J150" s="27">
        <f t="shared" si="46"/>
        <v>18570.39</v>
      </c>
      <c r="K150" s="27">
        <v>7730.54</v>
      </c>
      <c r="L150" s="27">
        <v>0</v>
      </c>
      <c r="M150" s="27">
        <v>3269.46</v>
      </c>
      <c r="N150" s="27">
        <v>0</v>
      </c>
      <c r="O150" s="27">
        <v>7730.54</v>
      </c>
      <c r="P150" s="28">
        <v>0.29699999999999999</v>
      </c>
      <c r="Q150" s="27">
        <f t="shared" si="50"/>
        <v>18570.39</v>
      </c>
      <c r="R150" s="27"/>
      <c r="S150" s="27">
        <f t="shared" si="51"/>
        <v>18570.39</v>
      </c>
      <c r="T150" s="27">
        <f t="shared" si="53"/>
        <v>18570.39</v>
      </c>
      <c r="U150" s="27">
        <f t="shared" si="52"/>
        <v>0</v>
      </c>
      <c r="W150" s="27">
        <v>14449.94</v>
      </c>
      <c r="X150" s="27">
        <v>4120.45</v>
      </c>
    </row>
    <row r="151" spans="1:24" ht="20.100000000000001" customHeight="1" outlineLevel="1" x14ac:dyDescent="0.2">
      <c r="A151" s="26" t="s">
        <v>328</v>
      </c>
      <c r="B151" s="30">
        <v>521</v>
      </c>
      <c r="C151" s="30" t="str">
        <f t="shared" si="48"/>
        <v>3</v>
      </c>
      <c r="D151" s="30" t="str">
        <f t="shared" si="49"/>
        <v>32</v>
      </c>
      <c r="E151" s="26" t="str">
        <f t="shared" si="36"/>
        <v>324</v>
      </c>
      <c r="F151" s="26" t="s">
        <v>150</v>
      </c>
      <c r="G151" s="26" t="s">
        <v>246</v>
      </c>
      <c r="H151" s="26" t="s">
        <v>152</v>
      </c>
      <c r="I151" s="27">
        <v>1000</v>
      </c>
      <c r="J151" s="27">
        <f t="shared" si="46"/>
        <v>407.3</v>
      </c>
      <c r="K151" s="27">
        <v>1000</v>
      </c>
      <c r="L151" s="27">
        <v>0</v>
      </c>
      <c r="M151" s="27">
        <v>0</v>
      </c>
      <c r="N151" s="27">
        <v>0</v>
      </c>
      <c r="O151" s="27">
        <v>1000</v>
      </c>
      <c r="P151" s="28">
        <v>0</v>
      </c>
      <c r="Q151" s="27">
        <f t="shared" si="50"/>
        <v>407.3</v>
      </c>
      <c r="R151" s="27"/>
      <c r="S151" s="27">
        <f t="shared" si="51"/>
        <v>407.3</v>
      </c>
      <c r="T151" s="27">
        <f t="shared" si="53"/>
        <v>407.3</v>
      </c>
      <c r="U151" s="27">
        <f t="shared" si="52"/>
        <v>0</v>
      </c>
      <c r="W151" s="27">
        <v>407.3</v>
      </c>
      <c r="X151" s="27"/>
    </row>
    <row r="152" spans="1:24" ht="20.100000000000001" customHeight="1" outlineLevel="1" x14ac:dyDescent="0.2">
      <c r="A152" s="26" t="s">
        <v>328</v>
      </c>
      <c r="B152" s="30">
        <v>521</v>
      </c>
      <c r="C152" s="30" t="str">
        <f t="shared" si="48"/>
        <v>3</v>
      </c>
      <c r="D152" s="30" t="str">
        <f t="shared" si="49"/>
        <v>32</v>
      </c>
      <c r="E152" s="26" t="str">
        <f t="shared" si="36"/>
        <v>329</v>
      </c>
      <c r="F152" s="26" t="s">
        <v>154</v>
      </c>
      <c r="G152" s="26" t="s">
        <v>247</v>
      </c>
      <c r="H152" s="26" t="s">
        <v>156</v>
      </c>
      <c r="I152" s="27">
        <v>3300</v>
      </c>
      <c r="J152" s="27">
        <f t="shared" si="46"/>
        <v>1635.18</v>
      </c>
      <c r="K152" s="27">
        <v>3125.28</v>
      </c>
      <c r="L152" s="27">
        <v>0</v>
      </c>
      <c r="M152" s="27">
        <v>174.72</v>
      </c>
      <c r="N152" s="27">
        <v>0</v>
      </c>
      <c r="O152" s="27">
        <v>3125.28</v>
      </c>
      <c r="P152" s="28">
        <v>5.2999999999999999E-2</v>
      </c>
      <c r="Q152" s="27">
        <f t="shared" si="50"/>
        <v>1635.18</v>
      </c>
      <c r="R152" s="27"/>
      <c r="S152" s="27">
        <f t="shared" si="51"/>
        <v>1635.18</v>
      </c>
      <c r="T152" s="27">
        <f t="shared" si="53"/>
        <v>1635.18</v>
      </c>
      <c r="U152" s="27">
        <f t="shared" si="52"/>
        <v>0</v>
      </c>
      <c r="W152" s="27">
        <v>1610.18</v>
      </c>
      <c r="X152" s="27">
        <v>25</v>
      </c>
    </row>
    <row r="153" spans="1:24" ht="20.100000000000001" customHeight="1" outlineLevel="1" x14ac:dyDescent="0.2">
      <c r="A153" s="26" t="s">
        <v>328</v>
      </c>
      <c r="B153" s="30">
        <v>521</v>
      </c>
      <c r="C153" s="30" t="str">
        <f t="shared" si="48"/>
        <v>3</v>
      </c>
      <c r="D153" s="30" t="str">
        <f t="shared" si="49"/>
        <v>32</v>
      </c>
      <c r="E153" s="26" t="str">
        <f t="shared" si="36"/>
        <v>329</v>
      </c>
      <c r="F153" s="26" t="s">
        <v>113</v>
      </c>
      <c r="G153" s="26" t="s">
        <v>248</v>
      </c>
      <c r="H153" s="26" t="s">
        <v>115</v>
      </c>
      <c r="I153" s="27">
        <v>2000</v>
      </c>
      <c r="J153" s="27">
        <f t="shared" si="46"/>
        <v>2000</v>
      </c>
      <c r="K153" s="27">
        <v>0</v>
      </c>
      <c r="L153" s="27">
        <v>0</v>
      </c>
      <c r="M153" s="27">
        <v>2000</v>
      </c>
      <c r="N153" s="27">
        <v>0</v>
      </c>
      <c r="O153" s="27">
        <v>0</v>
      </c>
      <c r="P153" s="28">
        <v>1</v>
      </c>
      <c r="Q153" s="27">
        <f t="shared" si="50"/>
        <v>2000</v>
      </c>
      <c r="R153" s="27"/>
      <c r="S153" s="27">
        <f t="shared" si="51"/>
        <v>2000</v>
      </c>
      <c r="T153" s="27">
        <f t="shared" si="53"/>
        <v>2000</v>
      </c>
      <c r="U153" s="27">
        <f t="shared" si="52"/>
        <v>0</v>
      </c>
      <c r="W153" s="27">
        <v>2000</v>
      </c>
      <c r="X153" s="27"/>
    </row>
    <row r="154" spans="1:24" ht="20.100000000000001" customHeight="1" outlineLevel="1" x14ac:dyDescent="0.2">
      <c r="A154" s="26" t="s">
        <v>328</v>
      </c>
      <c r="B154" s="30">
        <v>521</v>
      </c>
      <c r="C154" s="30" t="str">
        <f t="shared" si="48"/>
        <v>3</v>
      </c>
      <c r="D154" s="30" t="str">
        <f t="shared" si="49"/>
        <v>32</v>
      </c>
      <c r="E154" s="26" t="str">
        <f t="shared" si="36"/>
        <v>329</v>
      </c>
      <c r="F154" s="26" t="s">
        <v>159</v>
      </c>
      <c r="G154" s="26" t="s">
        <v>249</v>
      </c>
      <c r="H154" s="26" t="s">
        <v>161</v>
      </c>
      <c r="I154" s="27">
        <v>0</v>
      </c>
      <c r="J154" s="27">
        <f t="shared" si="46"/>
        <v>0</v>
      </c>
      <c r="K154" s="27">
        <v>0</v>
      </c>
      <c r="L154" s="27">
        <v>0</v>
      </c>
      <c r="M154" s="27">
        <v>0</v>
      </c>
      <c r="N154" s="27">
        <v>0</v>
      </c>
      <c r="O154" s="27">
        <v>0</v>
      </c>
      <c r="P154" s="28">
        <v>0</v>
      </c>
      <c r="Q154" s="27">
        <f t="shared" si="50"/>
        <v>0</v>
      </c>
      <c r="R154" s="27"/>
      <c r="S154" s="27">
        <f t="shared" si="51"/>
        <v>0</v>
      </c>
      <c r="T154" s="27">
        <f t="shared" si="53"/>
        <v>0</v>
      </c>
      <c r="U154" s="27">
        <f t="shared" si="52"/>
        <v>0</v>
      </c>
      <c r="W154" s="27"/>
      <c r="X154" s="27"/>
    </row>
    <row r="155" spans="1:24" ht="20.100000000000001" customHeight="1" x14ac:dyDescent="0.2">
      <c r="F155" s="216" t="s">
        <v>34</v>
      </c>
      <c r="G155" s="216"/>
      <c r="H155" s="216"/>
      <c r="I155" s="52">
        <f>SUMIFS(I156:I323,$A156:$A323,"A212402",$B156:$B323,"541")</f>
        <v>2900</v>
      </c>
      <c r="J155" s="52">
        <f t="shared" ref="J155:U155" si="54">SUMIFS(J156:J323,$A156:$A323,"A212402",$B156:$B323,"541")</f>
        <v>2163.17</v>
      </c>
      <c r="K155" s="52">
        <f t="shared" si="54"/>
        <v>1775.12</v>
      </c>
      <c r="L155" s="52">
        <f t="shared" si="54"/>
        <v>0</v>
      </c>
      <c r="M155" s="52">
        <f t="shared" si="54"/>
        <v>1124.8800000000001</v>
      </c>
      <c r="N155" s="52">
        <f t="shared" si="54"/>
        <v>0</v>
      </c>
      <c r="O155" s="52">
        <f t="shared" si="54"/>
        <v>1875.12</v>
      </c>
      <c r="P155" s="53">
        <v>0.38800000000000001</v>
      </c>
      <c r="Q155" s="52">
        <f t="shared" si="54"/>
        <v>2163.17</v>
      </c>
      <c r="R155" s="52">
        <f t="shared" si="54"/>
        <v>0</v>
      </c>
      <c r="S155" s="52">
        <f t="shared" si="54"/>
        <v>2163.17</v>
      </c>
      <c r="T155" s="52">
        <f t="shared" si="54"/>
        <v>2163.17</v>
      </c>
      <c r="U155" s="52">
        <f t="shared" si="54"/>
        <v>0</v>
      </c>
      <c r="V155" s="32"/>
      <c r="W155" s="52">
        <f>SUMIFS(W156:W323,$A156:$A323,"A212402",$B156:$B323,"541")</f>
        <v>1139.42</v>
      </c>
      <c r="X155" s="52">
        <f>SUMIFS(X156:X323,$A156:$A323,"A212402",$B156:$B323,"541")</f>
        <v>1023.75</v>
      </c>
    </row>
    <row r="156" spans="1:24" ht="20.100000000000001" customHeight="1" outlineLevel="1" x14ac:dyDescent="0.2">
      <c r="A156" s="26" t="s">
        <v>328</v>
      </c>
      <c r="B156" s="30">
        <v>541</v>
      </c>
      <c r="C156" s="30" t="str">
        <f t="shared" ref="C156:C162" si="55">LEFT(F156,1)</f>
        <v>3</v>
      </c>
      <c r="D156" s="30" t="str">
        <f t="shared" ref="D156:D162" si="56">LEFT(F156,2)</f>
        <v>32</v>
      </c>
      <c r="E156" s="26" t="str">
        <f t="shared" si="36"/>
        <v>322</v>
      </c>
      <c r="F156" s="26" t="s">
        <v>72</v>
      </c>
      <c r="G156" s="26" t="s">
        <v>250</v>
      </c>
      <c r="H156" s="26" t="s">
        <v>74</v>
      </c>
      <c r="I156" s="27">
        <v>100</v>
      </c>
      <c r="J156" s="27">
        <f>T156</f>
        <v>10.5</v>
      </c>
      <c r="K156" s="27">
        <v>89.5</v>
      </c>
      <c r="L156" s="27">
        <v>0</v>
      </c>
      <c r="M156" s="27">
        <v>10.5</v>
      </c>
      <c r="N156" s="27">
        <v>0</v>
      </c>
      <c r="O156" s="27">
        <v>89.5</v>
      </c>
      <c r="P156" s="28">
        <v>0.105</v>
      </c>
      <c r="Q156" s="27">
        <f t="shared" ref="Q156:Q162" si="57">J156</f>
        <v>10.5</v>
      </c>
      <c r="R156" s="27"/>
      <c r="S156" s="27">
        <f t="shared" ref="S156:S162" si="58">R156+Q156</f>
        <v>10.5</v>
      </c>
      <c r="T156" s="27">
        <f>W156+X156</f>
        <v>10.5</v>
      </c>
      <c r="U156" s="27">
        <f t="shared" ref="U156:U162" si="59">S156-T156</f>
        <v>0</v>
      </c>
      <c r="W156" s="27">
        <v>10.5</v>
      </c>
      <c r="X156" s="27"/>
    </row>
    <row r="157" spans="1:24" ht="20.100000000000001" customHeight="1" outlineLevel="1" x14ac:dyDescent="0.2">
      <c r="A157" s="26" t="s">
        <v>328</v>
      </c>
      <c r="B157" s="30">
        <v>541</v>
      </c>
      <c r="C157" s="30" t="str">
        <f t="shared" si="55"/>
        <v>3</v>
      </c>
      <c r="D157" s="30" t="str">
        <f t="shared" si="56"/>
        <v>32</v>
      </c>
      <c r="E157" s="26" t="str">
        <f t="shared" si="36"/>
        <v>322</v>
      </c>
      <c r="F157" s="26" t="s">
        <v>75</v>
      </c>
      <c r="G157" s="26" t="s">
        <v>251</v>
      </c>
      <c r="H157" s="26" t="s">
        <v>77</v>
      </c>
      <c r="I157" s="27">
        <v>400</v>
      </c>
      <c r="J157" s="27">
        <f t="shared" ref="J157:J162" si="60">T157</f>
        <v>7.98</v>
      </c>
      <c r="K157" s="27">
        <v>360.01</v>
      </c>
      <c r="L157" s="27">
        <v>0</v>
      </c>
      <c r="M157" s="27">
        <v>39.99</v>
      </c>
      <c r="N157" s="27">
        <v>0</v>
      </c>
      <c r="O157" s="27">
        <v>360.01</v>
      </c>
      <c r="P157" s="28">
        <v>0.1</v>
      </c>
      <c r="Q157" s="27">
        <f t="shared" si="57"/>
        <v>7.98</v>
      </c>
      <c r="R157" s="27"/>
      <c r="S157" s="27">
        <f t="shared" si="58"/>
        <v>7.98</v>
      </c>
      <c r="T157" s="27">
        <f t="shared" ref="T157:T162" si="61">W157+X157</f>
        <v>7.98</v>
      </c>
      <c r="U157" s="27">
        <f t="shared" si="59"/>
        <v>0</v>
      </c>
      <c r="W157" s="27">
        <v>7.98</v>
      </c>
      <c r="X157" s="27"/>
    </row>
    <row r="158" spans="1:24" ht="20.100000000000001" customHeight="1" outlineLevel="1" x14ac:dyDescent="0.2">
      <c r="A158" s="26" t="s">
        <v>328</v>
      </c>
      <c r="B158" s="30">
        <v>541</v>
      </c>
      <c r="C158" s="30" t="str">
        <f t="shared" si="55"/>
        <v>3</v>
      </c>
      <c r="D158" s="30" t="str">
        <f t="shared" si="56"/>
        <v>32</v>
      </c>
      <c r="E158" s="26" t="str">
        <f t="shared" si="36"/>
        <v>322</v>
      </c>
      <c r="F158" s="26" t="s">
        <v>81</v>
      </c>
      <c r="G158" s="26" t="s">
        <v>252</v>
      </c>
      <c r="H158" s="26" t="s">
        <v>83</v>
      </c>
      <c r="I158" s="27">
        <v>100</v>
      </c>
      <c r="J158" s="27">
        <f t="shared" si="60"/>
        <v>0</v>
      </c>
      <c r="K158" s="27">
        <v>100</v>
      </c>
      <c r="L158" s="27">
        <v>0</v>
      </c>
      <c r="M158" s="27">
        <v>0</v>
      </c>
      <c r="N158" s="27">
        <v>0</v>
      </c>
      <c r="O158" s="27">
        <v>100</v>
      </c>
      <c r="P158" s="28">
        <v>0</v>
      </c>
      <c r="Q158" s="27">
        <f t="shared" si="57"/>
        <v>0</v>
      </c>
      <c r="R158" s="27"/>
      <c r="S158" s="27">
        <f t="shared" si="58"/>
        <v>0</v>
      </c>
      <c r="T158" s="27">
        <f t="shared" si="61"/>
        <v>0</v>
      </c>
      <c r="U158" s="27">
        <f t="shared" si="59"/>
        <v>0</v>
      </c>
      <c r="W158" s="27"/>
      <c r="X158" s="27"/>
    </row>
    <row r="159" spans="1:24" ht="20.100000000000001" customHeight="1" outlineLevel="1" x14ac:dyDescent="0.2">
      <c r="A159" s="26" t="s">
        <v>328</v>
      </c>
      <c r="B159" s="30">
        <v>541</v>
      </c>
      <c r="C159" s="30" t="str">
        <f t="shared" si="55"/>
        <v>3</v>
      </c>
      <c r="D159" s="30" t="str">
        <f t="shared" si="56"/>
        <v>32</v>
      </c>
      <c r="E159" s="26" t="str">
        <f t="shared" si="36"/>
        <v>322</v>
      </c>
      <c r="F159" s="35">
        <v>3225</v>
      </c>
      <c r="G159" s="26" t="s">
        <v>252</v>
      </c>
      <c r="H159" s="26" t="s">
        <v>355</v>
      </c>
      <c r="I159" s="27"/>
      <c r="J159" s="27">
        <f t="shared" si="60"/>
        <v>46.55</v>
      </c>
      <c r="K159" s="27"/>
      <c r="L159" s="27"/>
      <c r="M159" s="27"/>
      <c r="N159" s="27"/>
      <c r="O159" s="27">
        <v>100</v>
      </c>
      <c r="P159" s="28">
        <v>0</v>
      </c>
      <c r="Q159" s="27">
        <f t="shared" si="57"/>
        <v>46.55</v>
      </c>
      <c r="R159" s="27"/>
      <c r="S159" s="27">
        <f t="shared" si="58"/>
        <v>46.55</v>
      </c>
      <c r="T159" s="27">
        <f t="shared" si="61"/>
        <v>46.55</v>
      </c>
      <c r="U159" s="27">
        <f t="shared" si="59"/>
        <v>0</v>
      </c>
      <c r="W159" s="27">
        <v>46.55</v>
      </c>
      <c r="X159" s="27"/>
    </row>
    <row r="160" spans="1:24" ht="20.100000000000001" customHeight="1" outlineLevel="1" x14ac:dyDescent="0.2">
      <c r="A160" s="26" t="s">
        <v>328</v>
      </c>
      <c r="B160" s="30">
        <v>541</v>
      </c>
      <c r="C160" s="30" t="str">
        <f t="shared" si="55"/>
        <v>3</v>
      </c>
      <c r="D160" s="30" t="str">
        <f t="shared" si="56"/>
        <v>32</v>
      </c>
      <c r="E160" s="26" t="str">
        <f t="shared" si="36"/>
        <v>323</v>
      </c>
      <c r="F160" s="26" t="s">
        <v>91</v>
      </c>
      <c r="G160" s="26" t="s">
        <v>253</v>
      </c>
      <c r="H160" s="26" t="s">
        <v>93</v>
      </c>
      <c r="I160" s="27">
        <v>800</v>
      </c>
      <c r="J160" s="27">
        <f t="shared" si="60"/>
        <v>1023.75</v>
      </c>
      <c r="K160" s="27">
        <v>800</v>
      </c>
      <c r="L160" s="27">
        <v>0</v>
      </c>
      <c r="M160" s="27">
        <v>0</v>
      </c>
      <c r="N160" s="27">
        <v>0</v>
      </c>
      <c r="O160" s="27">
        <v>800</v>
      </c>
      <c r="P160" s="28">
        <v>0</v>
      </c>
      <c r="Q160" s="27">
        <f t="shared" si="57"/>
        <v>1023.75</v>
      </c>
      <c r="R160" s="27"/>
      <c r="S160" s="27">
        <f t="shared" si="58"/>
        <v>1023.75</v>
      </c>
      <c r="T160" s="27">
        <f t="shared" si="61"/>
        <v>1023.75</v>
      </c>
      <c r="U160" s="27">
        <f t="shared" si="59"/>
        <v>0</v>
      </c>
      <c r="W160" s="27"/>
      <c r="X160" s="27">
        <v>1023.75</v>
      </c>
    </row>
    <row r="161" spans="1:24" ht="20.100000000000001" customHeight="1" outlineLevel="1" x14ac:dyDescent="0.2">
      <c r="A161" s="26" t="s">
        <v>328</v>
      </c>
      <c r="B161" s="30">
        <v>541</v>
      </c>
      <c r="C161" s="30" t="str">
        <f t="shared" si="55"/>
        <v>3</v>
      </c>
      <c r="D161" s="30" t="str">
        <f t="shared" si="56"/>
        <v>32</v>
      </c>
      <c r="E161" s="26" t="str">
        <f t="shared" si="36"/>
        <v>323</v>
      </c>
      <c r="F161" s="26" t="s">
        <v>41</v>
      </c>
      <c r="G161" s="26" t="s">
        <v>254</v>
      </c>
      <c r="H161" s="26" t="s">
        <v>43</v>
      </c>
      <c r="I161" s="27">
        <v>1100</v>
      </c>
      <c r="J161" s="27">
        <f t="shared" si="60"/>
        <v>730.64</v>
      </c>
      <c r="K161" s="27">
        <v>369.36</v>
      </c>
      <c r="L161" s="27">
        <v>0</v>
      </c>
      <c r="M161" s="27">
        <v>730.64</v>
      </c>
      <c r="N161" s="27">
        <v>0</v>
      </c>
      <c r="O161" s="27">
        <v>369.36</v>
      </c>
      <c r="P161" s="28">
        <v>0.66400000000000003</v>
      </c>
      <c r="Q161" s="27">
        <f t="shared" si="57"/>
        <v>730.64</v>
      </c>
      <c r="R161" s="27"/>
      <c r="S161" s="27">
        <f t="shared" si="58"/>
        <v>730.64</v>
      </c>
      <c r="T161" s="27">
        <f t="shared" si="61"/>
        <v>730.64</v>
      </c>
      <c r="U161" s="27">
        <f t="shared" si="59"/>
        <v>0</v>
      </c>
      <c r="W161" s="27">
        <v>730.64</v>
      </c>
      <c r="X161" s="27"/>
    </row>
    <row r="162" spans="1:24" ht="20.100000000000001" customHeight="1" outlineLevel="1" x14ac:dyDescent="0.2">
      <c r="A162" s="26" t="s">
        <v>328</v>
      </c>
      <c r="B162" s="30">
        <v>541</v>
      </c>
      <c r="C162" s="30" t="str">
        <f t="shared" si="55"/>
        <v>3</v>
      </c>
      <c r="D162" s="30" t="str">
        <f t="shared" si="56"/>
        <v>32</v>
      </c>
      <c r="E162" s="26" t="str">
        <f t="shared" si="36"/>
        <v>323</v>
      </c>
      <c r="F162" s="26" t="s">
        <v>126</v>
      </c>
      <c r="G162" s="26" t="s">
        <v>255</v>
      </c>
      <c r="H162" s="26" t="s">
        <v>128</v>
      </c>
      <c r="I162" s="27">
        <v>400</v>
      </c>
      <c r="J162" s="27">
        <f t="shared" si="60"/>
        <v>343.75</v>
      </c>
      <c r="K162" s="27">
        <v>56.25</v>
      </c>
      <c r="L162" s="27">
        <v>0</v>
      </c>
      <c r="M162" s="27">
        <v>343.75</v>
      </c>
      <c r="N162" s="27">
        <v>0</v>
      </c>
      <c r="O162" s="27">
        <v>56.25</v>
      </c>
      <c r="P162" s="28">
        <v>0.85899999999999999</v>
      </c>
      <c r="Q162" s="27">
        <f t="shared" si="57"/>
        <v>343.75</v>
      </c>
      <c r="R162" s="27"/>
      <c r="S162" s="27">
        <f t="shared" si="58"/>
        <v>343.75</v>
      </c>
      <c r="T162" s="27">
        <f t="shared" si="61"/>
        <v>343.75</v>
      </c>
      <c r="U162" s="27">
        <f t="shared" si="59"/>
        <v>0</v>
      </c>
      <c r="W162" s="27">
        <v>343.75</v>
      </c>
      <c r="X162" s="27"/>
    </row>
    <row r="163" spans="1:24" ht="35.1" customHeight="1" x14ac:dyDescent="0.2">
      <c r="F163" s="222" t="s">
        <v>256</v>
      </c>
      <c r="G163" s="222"/>
      <c r="H163" s="222"/>
      <c r="I163" s="39">
        <f>SUM(I164:I164)</f>
        <v>0</v>
      </c>
      <c r="J163" s="39">
        <f t="shared" ref="J163:U163" si="62">SUM(J164:J164)</f>
        <v>0</v>
      </c>
      <c r="K163" s="39">
        <f t="shared" si="62"/>
        <v>0</v>
      </c>
      <c r="L163" s="39">
        <f t="shared" si="62"/>
        <v>0</v>
      </c>
      <c r="M163" s="39">
        <f t="shared" si="62"/>
        <v>0</v>
      </c>
      <c r="N163" s="39">
        <f t="shared" si="62"/>
        <v>0</v>
      </c>
      <c r="O163" s="39">
        <f t="shared" si="62"/>
        <v>0</v>
      </c>
      <c r="P163" s="40">
        <v>0</v>
      </c>
      <c r="Q163" s="39">
        <f t="shared" si="62"/>
        <v>0</v>
      </c>
      <c r="R163" s="39">
        <f t="shared" si="62"/>
        <v>0</v>
      </c>
      <c r="S163" s="39">
        <f t="shared" si="62"/>
        <v>0</v>
      </c>
      <c r="T163" s="39">
        <f t="shared" si="62"/>
        <v>0</v>
      </c>
      <c r="U163" s="39">
        <f t="shared" si="62"/>
        <v>0</v>
      </c>
    </row>
    <row r="164" spans="1:24" ht="20.100000000000001" customHeight="1" x14ac:dyDescent="0.2">
      <c r="F164" s="216" t="s">
        <v>56</v>
      </c>
      <c r="G164" s="216"/>
      <c r="H164" s="216"/>
      <c r="I164" s="52">
        <f>SUMIFS(I165:I331,$A165:$A331,"A212403",$B165:$B331,"112")</f>
        <v>0</v>
      </c>
      <c r="J164" s="52">
        <v>0</v>
      </c>
      <c r="K164" s="52">
        <v>0</v>
      </c>
      <c r="L164" s="52">
        <v>0</v>
      </c>
      <c r="M164" s="52">
        <v>0</v>
      </c>
      <c r="N164" s="52">
        <v>0</v>
      </c>
      <c r="O164" s="52">
        <v>0</v>
      </c>
      <c r="P164" s="53">
        <v>0</v>
      </c>
      <c r="Q164" s="52">
        <v>0</v>
      </c>
      <c r="R164" s="52">
        <v>0</v>
      </c>
      <c r="S164" s="52">
        <v>0</v>
      </c>
      <c r="T164" s="52">
        <v>0</v>
      </c>
      <c r="U164" s="52">
        <v>0</v>
      </c>
      <c r="V164" s="32"/>
    </row>
    <row r="165" spans="1:24" ht="20.100000000000001" customHeight="1" outlineLevel="1" x14ac:dyDescent="0.2">
      <c r="A165" s="26" t="s">
        <v>329</v>
      </c>
      <c r="B165" s="30">
        <v>112</v>
      </c>
      <c r="C165" s="30" t="str">
        <f>LEFT(F165,1)</f>
        <v>3</v>
      </c>
      <c r="D165" s="30" t="str">
        <f>LEFT(F165,2)</f>
        <v>32</v>
      </c>
      <c r="E165" s="26" t="str">
        <f>LEFT(F165,3)</f>
        <v>321</v>
      </c>
      <c r="F165" s="26" t="s">
        <v>130</v>
      </c>
      <c r="G165" s="26" t="s">
        <v>257</v>
      </c>
      <c r="H165" s="26" t="s">
        <v>132</v>
      </c>
      <c r="I165" s="27">
        <v>0</v>
      </c>
      <c r="J165" s="27">
        <v>0</v>
      </c>
      <c r="K165" s="27">
        <v>0</v>
      </c>
      <c r="L165" s="27">
        <v>0</v>
      </c>
      <c r="M165" s="27">
        <v>0</v>
      </c>
      <c r="N165" s="27">
        <v>0</v>
      </c>
      <c r="O165" s="27">
        <v>0</v>
      </c>
      <c r="P165" s="28">
        <v>0</v>
      </c>
      <c r="Q165" s="27">
        <f>J165</f>
        <v>0</v>
      </c>
      <c r="R165" s="27"/>
      <c r="S165" s="27">
        <f>R165+Q165</f>
        <v>0</v>
      </c>
      <c r="T165" s="27"/>
      <c r="U165" s="27"/>
    </row>
    <row r="166" spans="1:24" ht="35.1" customHeight="1" x14ac:dyDescent="0.2">
      <c r="F166" s="222" t="s">
        <v>258</v>
      </c>
      <c r="G166" s="222"/>
      <c r="H166" s="222"/>
      <c r="I166" s="39">
        <f>SUM(I167:I167)</f>
        <v>185500</v>
      </c>
      <c r="J166" s="39">
        <f t="shared" ref="J166:U166" si="63">SUM(J167:J167)</f>
        <v>97034.17</v>
      </c>
      <c r="K166" s="39">
        <f t="shared" si="63"/>
        <v>88465.83</v>
      </c>
      <c r="L166" s="39">
        <f t="shared" si="63"/>
        <v>0</v>
      </c>
      <c r="M166" s="39">
        <f t="shared" si="63"/>
        <v>97034.17</v>
      </c>
      <c r="N166" s="39">
        <f t="shared" si="63"/>
        <v>0</v>
      </c>
      <c r="O166" s="39">
        <f t="shared" si="63"/>
        <v>88465.83</v>
      </c>
      <c r="P166" s="40">
        <v>0.52300000000000002</v>
      </c>
      <c r="Q166" s="39">
        <f t="shared" si="63"/>
        <v>97034.17</v>
      </c>
      <c r="R166" s="39">
        <f t="shared" si="63"/>
        <v>88465.83</v>
      </c>
      <c r="S166" s="39">
        <f t="shared" si="63"/>
        <v>185500</v>
      </c>
      <c r="T166" s="39">
        <f t="shared" si="63"/>
        <v>185500</v>
      </c>
      <c r="U166" s="39">
        <f t="shared" si="63"/>
        <v>0</v>
      </c>
    </row>
    <row r="167" spans="1:24" ht="20.100000000000001" customHeight="1" x14ac:dyDescent="0.2">
      <c r="F167" s="216" t="s">
        <v>56</v>
      </c>
      <c r="G167" s="216"/>
      <c r="H167" s="216"/>
      <c r="I167" s="52">
        <f>SUMIFS(I168:I334,$A168:$A334,"A212404",$B168:$B334,"112")</f>
        <v>185500</v>
      </c>
      <c r="J167" s="52">
        <f t="shared" ref="J167:U167" si="64">SUMIFS(J168:J334,$A168:$A334,"A212404",$B168:$B334,"112")</f>
        <v>97034.17</v>
      </c>
      <c r="K167" s="52">
        <f t="shared" si="64"/>
        <v>88465.83</v>
      </c>
      <c r="L167" s="52">
        <f t="shared" si="64"/>
        <v>0</v>
      </c>
      <c r="M167" s="52">
        <f t="shared" si="64"/>
        <v>97034.17</v>
      </c>
      <c r="N167" s="52">
        <f t="shared" si="64"/>
        <v>0</v>
      </c>
      <c r="O167" s="52">
        <f t="shared" si="64"/>
        <v>88465.83</v>
      </c>
      <c r="P167" s="53">
        <v>0.52300000000000002</v>
      </c>
      <c r="Q167" s="52">
        <f t="shared" si="64"/>
        <v>97034.17</v>
      </c>
      <c r="R167" s="52">
        <f t="shared" si="64"/>
        <v>88465.83</v>
      </c>
      <c r="S167" s="52">
        <f t="shared" si="64"/>
        <v>185500</v>
      </c>
      <c r="T167" s="52">
        <f t="shared" si="64"/>
        <v>185500</v>
      </c>
      <c r="U167" s="52">
        <f t="shared" si="64"/>
        <v>0</v>
      </c>
      <c r="V167" s="32"/>
    </row>
    <row r="168" spans="1:24" ht="20.100000000000001" customHeight="1" outlineLevel="1" x14ac:dyDescent="0.2">
      <c r="A168" s="26" t="s">
        <v>330</v>
      </c>
      <c r="B168" s="30">
        <v>112</v>
      </c>
      <c r="C168" s="30" t="str">
        <f>LEFT(F168,1)</f>
        <v>3</v>
      </c>
      <c r="D168" s="30" t="str">
        <f>LEFT(F168,2)</f>
        <v>32</v>
      </c>
      <c r="E168" s="26" t="str">
        <f>LEFT(F168,3)</f>
        <v>323</v>
      </c>
      <c r="F168" s="26" t="s">
        <v>97</v>
      </c>
      <c r="G168" s="26" t="s">
        <v>259</v>
      </c>
      <c r="H168" s="26" t="s">
        <v>99</v>
      </c>
      <c r="I168" s="27">
        <v>0</v>
      </c>
      <c r="J168" s="27">
        <v>60935.17</v>
      </c>
      <c r="K168" s="27">
        <v>-60935.17</v>
      </c>
      <c r="L168" s="27">
        <v>0</v>
      </c>
      <c r="M168" s="27">
        <v>60935.17</v>
      </c>
      <c r="N168" s="27">
        <v>0</v>
      </c>
      <c r="O168" s="27">
        <v>-60935.17</v>
      </c>
      <c r="P168" s="28">
        <v>0</v>
      </c>
      <c r="Q168" s="27">
        <f>J168</f>
        <v>60935.17</v>
      </c>
      <c r="R168" s="27">
        <v>-60935.17</v>
      </c>
      <c r="S168" s="27">
        <f>R168+Q168</f>
        <v>0</v>
      </c>
      <c r="T168" s="27">
        <v>185500</v>
      </c>
      <c r="U168" s="27">
        <f>S168-T168</f>
        <v>-185500</v>
      </c>
    </row>
    <row r="169" spans="1:24" ht="20.100000000000001" customHeight="1" outlineLevel="1" x14ac:dyDescent="0.2">
      <c r="A169" s="26" t="s">
        <v>330</v>
      </c>
      <c r="B169" s="30">
        <v>112</v>
      </c>
      <c r="C169" s="30" t="str">
        <f>LEFT(F169,1)</f>
        <v>3</v>
      </c>
      <c r="D169" s="30" t="str">
        <f>LEFT(F169,2)</f>
        <v>37</v>
      </c>
      <c r="E169" s="26" t="str">
        <f>LEFT(F169,3)</f>
        <v>372</v>
      </c>
      <c r="F169" s="26" t="s">
        <v>260</v>
      </c>
      <c r="G169" s="26" t="s">
        <v>261</v>
      </c>
      <c r="H169" s="26" t="s">
        <v>262</v>
      </c>
      <c r="I169" s="27">
        <v>185500</v>
      </c>
      <c r="J169" s="27">
        <v>36099</v>
      </c>
      <c r="K169" s="27">
        <v>149401</v>
      </c>
      <c r="L169" s="27">
        <v>0</v>
      </c>
      <c r="M169" s="27">
        <v>36099</v>
      </c>
      <c r="N169" s="27">
        <v>0</v>
      </c>
      <c r="O169" s="27">
        <v>149401</v>
      </c>
      <c r="P169" s="28">
        <v>0.19500000000000001</v>
      </c>
      <c r="Q169" s="27">
        <f>J169</f>
        <v>36099</v>
      </c>
      <c r="R169" s="27">
        <v>149401</v>
      </c>
      <c r="S169" s="27">
        <f>R169+Q169</f>
        <v>185500</v>
      </c>
      <c r="T169" s="27"/>
      <c r="U169" s="27">
        <f>S169-T169</f>
        <v>185500</v>
      </c>
    </row>
    <row r="170" spans="1:24" ht="35.1" customHeight="1" x14ac:dyDescent="0.2">
      <c r="F170" s="222" t="s">
        <v>263</v>
      </c>
      <c r="G170" s="222"/>
      <c r="H170" s="222"/>
      <c r="I170" s="39">
        <f>I171+I179+I189+I193+I196+I200+I203</f>
        <v>2825300</v>
      </c>
      <c r="J170" s="39">
        <f t="shared" ref="J170:O170" si="65">J171+J179+J189+J193+J196+J200+J203</f>
        <v>2141309.7400000002</v>
      </c>
      <c r="K170" s="39">
        <f t="shared" si="65"/>
        <v>1122469.96</v>
      </c>
      <c r="L170" s="39">
        <f t="shared" si="65"/>
        <v>0</v>
      </c>
      <c r="M170" s="39">
        <f t="shared" si="65"/>
        <v>1702830.04</v>
      </c>
      <c r="N170" s="39">
        <f t="shared" si="65"/>
        <v>0</v>
      </c>
      <c r="O170" s="39">
        <f t="shared" si="65"/>
        <v>1122469.96</v>
      </c>
      <c r="P170" s="40">
        <v>0.60299999999999998</v>
      </c>
      <c r="Q170" s="39">
        <f>Q171+Q179+Q189+Q193+Q196+Q200+Q203</f>
        <v>2141309.7400000002</v>
      </c>
      <c r="R170" s="39">
        <f>R171+R179+R189+R193+R196+R200+R203</f>
        <v>108387.72</v>
      </c>
      <c r="S170" s="39">
        <f>S171+S179+S189+S193+S196+S200+S203</f>
        <v>2249697.46</v>
      </c>
      <c r="T170" s="39">
        <f>T171+T179+T189+T193+T196+T200+T203</f>
        <v>2252929.92</v>
      </c>
      <c r="U170" s="39">
        <f>U171+U179+U189+U193+U196+U200+U203</f>
        <v>-3232.4600000001155</v>
      </c>
    </row>
    <row r="171" spans="1:24" ht="20.100000000000001" customHeight="1" x14ac:dyDescent="0.2">
      <c r="F171" s="216" t="s">
        <v>56</v>
      </c>
      <c r="G171" s="216"/>
      <c r="H171" s="216"/>
      <c r="I171" s="52">
        <f>SUMIFS(I172:I338,$A172:$A338,"K212401",$B172:$B338,"112")</f>
        <v>2117200</v>
      </c>
      <c r="J171" s="52">
        <f t="shared" ref="J171:U171" si="66">SUMIFS(J172:J338,$A172:$A338,"K212401",$B172:$B338,"112")</f>
        <v>1248873.02</v>
      </c>
      <c r="K171" s="52">
        <f t="shared" si="66"/>
        <v>868326.98</v>
      </c>
      <c r="L171" s="52">
        <f t="shared" si="66"/>
        <v>0</v>
      </c>
      <c r="M171" s="52">
        <f t="shared" si="66"/>
        <v>1248873.02</v>
      </c>
      <c r="N171" s="52">
        <f t="shared" si="66"/>
        <v>0</v>
      </c>
      <c r="O171" s="52">
        <f t="shared" si="66"/>
        <v>868326.98</v>
      </c>
      <c r="P171" s="53">
        <v>0.59</v>
      </c>
      <c r="Q171" s="52">
        <f t="shared" si="66"/>
        <v>1248873.02</v>
      </c>
      <c r="R171" s="52">
        <f t="shared" si="66"/>
        <v>108387.72</v>
      </c>
      <c r="S171" s="52">
        <f t="shared" si="66"/>
        <v>1357260.74</v>
      </c>
      <c r="T171" s="52">
        <f t="shared" si="66"/>
        <v>1360493.2000000002</v>
      </c>
      <c r="U171" s="52">
        <f t="shared" si="66"/>
        <v>-3232.4600000001155</v>
      </c>
      <c r="V171" s="32"/>
    </row>
    <row r="172" spans="1:24" ht="24.95" customHeight="1" outlineLevel="1" x14ac:dyDescent="0.2">
      <c r="A172" s="26" t="s">
        <v>331</v>
      </c>
      <c r="B172" s="30">
        <v>112</v>
      </c>
      <c r="C172" s="30" t="str">
        <f t="shared" ref="C172:C178" si="67">LEFT(F172,1)</f>
        <v>3</v>
      </c>
      <c r="D172" s="30" t="str">
        <f t="shared" ref="D172:D178" si="68">LEFT(F172,2)</f>
        <v>32</v>
      </c>
      <c r="E172" s="26" t="str">
        <f t="shared" ref="E172:E178" si="69">LEFT(F172,3)</f>
        <v>322</v>
      </c>
      <c r="F172" s="26" t="s">
        <v>75</v>
      </c>
      <c r="G172" s="26" t="s">
        <v>264</v>
      </c>
      <c r="H172" s="26" t="s">
        <v>77</v>
      </c>
      <c r="I172" s="27">
        <v>0</v>
      </c>
      <c r="J172" s="27">
        <v>0</v>
      </c>
      <c r="K172" s="27">
        <v>0</v>
      </c>
      <c r="L172" s="27">
        <v>0</v>
      </c>
      <c r="M172" s="27">
        <v>0</v>
      </c>
      <c r="N172" s="27">
        <v>0</v>
      </c>
      <c r="O172" s="27">
        <v>0</v>
      </c>
      <c r="P172" s="28">
        <v>0</v>
      </c>
      <c r="Q172" s="27">
        <f t="shared" ref="Q172:Q178" si="70">J172</f>
        <v>0</v>
      </c>
      <c r="R172" s="27"/>
      <c r="S172" s="27">
        <f t="shared" ref="S172:S178" si="71">R172+Q172</f>
        <v>0</v>
      </c>
      <c r="T172" s="27"/>
      <c r="U172" s="27">
        <f t="shared" ref="U172:U178" si="72">S172-T172</f>
        <v>0</v>
      </c>
    </row>
    <row r="173" spans="1:24" ht="24.95" customHeight="1" outlineLevel="1" x14ac:dyDescent="0.2">
      <c r="A173" s="26" t="s">
        <v>331</v>
      </c>
      <c r="B173" s="30">
        <v>112</v>
      </c>
      <c r="C173" s="30" t="str">
        <f t="shared" si="67"/>
        <v>3</v>
      </c>
      <c r="D173" s="30" t="str">
        <f t="shared" si="68"/>
        <v>32</v>
      </c>
      <c r="E173" s="26" t="str">
        <f t="shared" si="69"/>
        <v>323</v>
      </c>
      <c r="F173" s="26" t="s">
        <v>38</v>
      </c>
      <c r="G173" s="26" t="s">
        <v>265</v>
      </c>
      <c r="H173" s="26" t="s">
        <v>40</v>
      </c>
      <c r="I173" s="27">
        <v>0</v>
      </c>
      <c r="J173" s="27">
        <v>0</v>
      </c>
      <c r="K173" s="27">
        <v>0</v>
      </c>
      <c r="L173" s="27">
        <v>0</v>
      </c>
      <c r="M173" s="27">
        <v>0</v>
      </c>
      <c r="N173" s="27">
        <v>0</v>
      </c>
      <c r="O173" s="27">
        <v>0</v>
      </c>
      <c r="P173" s="28">
        <v>0</v>
      </c>
      <c r="Q173" s="27">
        <f t="shared" si="70"/>
        <v>0</v>
      </c>
      <c r="R173" s="27"/>
      <c r="S173" s="27">
        <f t="shared" si="71"/>
        <v>0</v>
      </c>
      <c r="T173" s="27"/>
      <c r="U173" s="27">
        <f t="shared" si="72"/>
        <v>0</v>
      </c>
    </row>
    <row r="174" spans="1:24" ht="24.95" customHeight="1" outlineLevel="1" x14ac:dyDescent="0.2">
      <c r="A174" s="26" t="s">
        <v>331</v>
      </c>
      <c r="B174" s="30">
        <v>112</v>
      </c>
      <c r="C174" s="30" t="str">
        <f t="shared" si="67"/>
        <v>4</v>
      </c>
      <c r="D174" s="30" t="str">
        <f t="shared" si="68"/>
        <v>42</v>
      </c>
      <c r="E174" s="26" t="str">
        <f t="shared" si="69"/>
        <v>422</v>
      </c>
      <c r="F174" s="26" t="s">
        <v>27</v>
      </c>
      <c r="G174" s="26" t="s">
        <v>266</v>
      </c>
      <c r="H174" s="26" t="s">
        <v>29</v>
      </c>
      <c r="I174" s="27">
        <v>92800</v>
      </c>
      <c r="J174" s="27">
        <v>47867.78</v>
      </c>
      <c r="K174" s="27">
        <v>44932.22</v>
      </c>
      <c r="L174" s="27">
        <v>0</v>
      </c>
      <c r="M174" s="27">
        <v>47867.78</v>
      </c>
      <c r="N174" s="27">
        <v>0</v>
      </c>
      <c r="O174" s="27">
        <v>44932.22</v>
      </c>
      <c r="P174" s="28">
        <v>0.51600000000000001</v>
      </c>
      <c r="Q174" s="27">
        <f t="shared" si="70"/>
        <v>47867.78</v>
      </c>
      <c r="R174" s="27"/>
      <c r="S174" s="27">
        <f t="shared" si="71"/>
        <v>47867.78</v>
      </c>
      <c r="T174" s="27">
        <v>51118.87</v>
      </c>
      <c r="U174" s="27">
        <f t="shared" si="72"/>
        <v>-3251.0900000000038</v>
      </c>
    </row>
    <row r="175" spans="1:24" ht="24.95" customHeight="1" outlineLevel="1" x14ac:dyDescent="0.2">
      <c r="A175" s="26" t="s">
        <v>331</v>
      </c>
      <c r="B175" s="30">
        <v>112</v>
      </c>
      <c r="C175" s="30" t="str">
        <f t="shared" si="67"/>
        <v>4</v>
      </c>
      <c r="D175" s="30" t="str">
        <f t="shared" si="68"/>
        <v>42</v>
      </c>
      <c r="E175" s="26" t="str">
        <f t="shared" si="69"/>
        <v>422</v>
      </c>
      <c r="F175" s="26" t="s">
        <v>30</v>
      </c>
      <c r="G175" s="26" t="s">
        <v>267</v>
      </c>
      <c r="H175" s="26" t="s">
        <v>32</v>
      </c>
      <c r="I175" s="27">
        <v>0</v>
      </c>
      <c r="J175" s="27">
        <v>0</v>
      </c>
      <c r="K175" s="27">
        <v>0</v>
      </c>
      <c r="L175" s="27">
        <v>0</v>
      </c>
      <c r="M175" s="27">
        <v>0</v>
      </c>
      <c r="N175" s="27">
        <v>0</v>
      </c>
      <c r="O175" s="27">
        <v>0</v>
      </c>
      <c r="P175" s="28">
        <v>0</v>
      </c>
      <c r="Q175" s="27">
        <f t="shared" si="70"/>
        <v>0</v>
      </c>
      <c r="R175" s="27"/>
      <c r="S175" s="27">
        <f t="shared" si="71"/>
        <v>0</v>
      </c>
      <c r="T175" s="27"/>
      <c r="U175" s="27">
        <f t="shared" si="72"/>
        <v>0</v>
      </c>
    </row>
    <row r="176" spans="1:24" ht="24.95" customHeight="1" outlineLevel="1" x14ac:dyDescent="0.2">
      <c r="A176" s="26" t="s">
        <v>331</v>
      </c>
      <c r="B176" s="30">
        <v>112</v>
      </c>
      <c r="C176" s="30" t="str">
        <f t="shared" si="67"/>
        <v>4</v>
      </c>
      <c r="D176" s="30" t="str">
        <f t="shared" si="68"/>
        <v>42</v>
      </c>
      <c r="E176" s="26" t="str">
        <f t="shared" si="69"/>
        <v>423</v>
      </c>
      <c r="F176" s="26" t="s">
        <v>14</v>
      </c>
      <c r="G176" s="26" t="s">
        <v>268</v>
      </c>
      <c r="H176" s="26" t="s">
        <v>16</v>
      </c>
      <c r="I176" s="27">
        <v>168000</v>
      </c>
      <c r="J176" s="27">
        <v>0</v>
      </c>
      <c r="K176" s="27">
        <v>168000</v>
      </c>
      <c r="L176" s="27">
        <v>0</v>
      </c>
      <c r="M176" s="27">
        <v>0</v>
      </c>
      <c r="N176" s="27">
        <v>0</v>
      </c>
      <c r="O176" s="27">
        <v>168000</v>
      </c>
      <c r="P176" s="28">
        <v>0</v>
      </c>
      <c r="Q176" s="27">
        <f t="shared" si="70"/>
        <v>0</v>
      </c>
      <c r="R176" s="27"/>
      <c r="S176" s="27">
        <f t="shared" si="71"/>
        <v>0</v>
      </c>
      <c r="T176" s="27"/>
      <c r="U176" s="27">
        <f t="shared" si="72"/>
        <v>0</v>
      </c>
    </row>
    <row r="177" spans="1:26" ht="24.95" customHeight="1" outlineLevel="1" x14ac:dyDescent="0.2">
      <c r="A177" s="26" t="s">
        <v>331</v>
      </c>
      <c r="B177" s="30">
        <v>112</v>
      </c>
      <c r="C177" s="30" t="str">
        <f t="shared" si="67"/>
        <v>4</v>
      </c>
      <c r="D177" s="30" t="str">
        <f t="shared" si="68"/>
        <v>42</v>
      </c>
      <c r="E177" s="26" t="str">
        <f t="shared" si="69"/>
        <v>424</v>
      </c>
      <c r="F177" s="26" t="s">
        <v>17</v>
      </c>
      <c r="G177" s="26" t="s">
        <v>269</v>
      </c>
      <c r="H177" s="26" t="s">
        <v>19</v>
      </c>
      <c r="I177" s="27">
        <v>1426000</v>
      </c>
      <c r="J177" s="27">
        <v>1191612.28</v>
      </c>
      <c r="K177" s="27">
        <v>234387.72</v>
      </c>
      <c r="L177" s="27">
        <v>0</v>
      </c>
      <c r="M177" s="27">
        <v>1191612.28</v>
      </c>
      <c r="N177" s="27">
        <v>0</v>
      </c>
      <c r="O177" s="27">
        <v>234387.72</v>
      </c>
      <c r="P177" s="28">
        <v>0.83599999999999997</v>
      </c>
      <c r="Q177" s="27">
        <f t="shared" si="70"/>
        <v>1191612.28</v>
      </c>
      <c r="R177" s="27">
        <v>108387.72</v>
      </c>
      <c r="S177" s="27">
        <f t="shared" si="71"/>
        <v>1300000</v>
      </c>
      <c r="T177" s="27">
        <v>1299981.3700000001</v>
      </c>
      <c r="U177" s="27">
        <f t="shared" si="72"/>
        <v>18.629999999888241</v>
      </c>
    </row>
    <row r="178" spans="1:26" ht="24.95" customHeight="1" outlineLevel="1" x14ac:dyDescent="0.2">
      <c r="A178" s="26" t="s">
        <v>331</v>
      </c>
      <c r="B178" s="30">
        <v>112</v>
      </c>
      <c r="C178" s="30" t="str">
        <f t="shared" si="67"/>
        <v>4</v>
      </c>
      <c r="D178" s="30" t="str">
        <f t="shared" si="68"/>
        <v>45</v>
      </c>
      <c r="E178" s="26" t="str">
        <f t="shared" si="69"/>
        <v>451</v>
      </c>
      <c r="F178" s="26" t="s">
        <v>23</v>
      </c>
      <c r="G178" s="26" t="s">
        <v>270</v>
      </c>
      <c r="H178" s="26" t="s">
        <v>25</v>
      </c>
      <c r="I178" s="27">
        <v>430400</v>
      </c>
      <c r="J178" s="27">
        <v>9392.9599999999991</v>
      </c>
      <c r="K178" s="27">
        <v>421007.04</v>
      </c>
      <c r="L178" s="27">
        <v>0</v>
      </c>
      <c r="M178" s="27">
        <v>9392.9599999999991</v>
      </c>
      <c r="N178" s="27">
        <v>0</v>
      </c>
      <c r="O178" s="27">
        <v>421007.04</v>
      </c>
      <c r="P178" s="28">
        <v>2.1999999999999999E-2</v>
      </c>
      <c r="Q178" s="27">
        <f t="shared" si="70"/>
        <v>9392.9599999999991</v>
      </c>
      <c r="R178" s="27"/>
      <c r="S178" s="27">
        <f t="shared" si="71"/>
        <v>9392.9599999999991</v>
      </c>
      <c r="T178" s="27">
        <v>9392.9599999999991</v>
      </c>
      <c r="U178" s="27">
        <f t="shared" si="72"/>
        <v>0</v>
      </c>
    </row>
    <row r="179" spans="1:26" ht="20.100000000000001" customHeight="1" x14ac:dyDescent="0.2">
      <c r="F179" s="216" t="s">
        <v>129</v>
      </c>
      <c r="G179" s="216"/>
      <c r="H179" s="216"/>
      <c r="I179" s="52">
        <f>SUMIFS(I180:I346,$A180:$A346,"K212401",$B180:$B346,"431")</f>
        <v>57500</v>
      </c>
      <c r="J179" s="52">
        <f t="shared" ref="J179:O179" si="73">SUMIFS(J180:J346,$A180:$A346,"K212401",$B180:$B346,"431")</f>
        <v>94349.21</v>
      </c>
      <c r="K179" s="52">
        <f t="shared" si="73"/>
        <v>-2278.66</v>
      </c>
      <c r="L179" s="52">
        <f t="shared" si="73"/>
        <v>0</v>
      </c>
      <c r="M179" s="52">
        <f t="shared" si="73"/>
        <v>59778.66</v>
      </c>
      <c r="N179" s="52">
        <f t="shared" si="73"/>
        <v>0</v>
      </c>
      <c r="O179" s="52">
        <f t="shared" si="73"/>
        <v>-2278.66</v>
      </c>
      <c r="P179" s="53">
        <v>1.04</v>
      </c>
      <c r="Q179" s="52">
        <f>SUMIFS(Q180:Q346,$A180:$A346,"K212401",$B180:$B346,"431")</f>
        <v>94349.21</v>
      </c>
      <c r="R179" s="52">
        <f>SUMIFS(R180:R346,$A180:$A346,"K212401",$B180:$B346,"431")</f>
        <v>0</v>
      </c>
      <c r="S179" s="52">
        <f>SUMIFS(S180:S346,$A180:$A346,"K212401",$B180:$B346,"431")</f>
        <v>94349.21</v>
      </c>
      <c r="T179" s="52">
        <f>SUMIFS(T180:T346,$A180:$A346,"K212401",$B180:$B346,"431")</f>
        <v>94349.21</v>
      </c>
      <c r="U179" s="52">
        <f>SUMIFS(U180:U346,$A180:$A346,"K212401",$B180:$B346,"431")</f>
        <v>0</v>
      </c>
      <c r="V179" s="32"/>
    </row>
    <row r="180" spans="1:26" ht="24.95" customHeight="1" outlineLevel="1" x14ac:dyDescent="0.2">
      <c r="A180" s="26" t="s">
        <v>331</v>
      </c>
      <c r="B180" s="30">
        <v>431</v>
      </c>
      <c r="C180" s="30" t="str">
        <f>LEFT(F180,1)</f>
        <v>4</v>
      </c>
      <c r="D180" s="30" t="str">
        <f>LEFT(F180,2)</f>
        <v>42</v>
      </c>
      <c r="E180" s="26" t="str">
        <f t="shared" ref="E180:E204" si="74">LEFT(F180,3)</f>
        <v>422</v>
      </c>
      <c r="F180" s="26" t="s">
        <v>27</v>
      </c>
      <c r="G180" s="26" t="s">
        <v>271</v>
      </c>
      <c r="H180" s="26" t="s">
        <v>29</v>
      </c>
      <c r="I180" s="27">
        <v>36500</v>
      </c>
      <c r="J180" s="27">
        <f>T180</f>
        <v>75175.37</v>
      </c>
      <c r="K180" s="27">
        <v>-21207.68</v>
      </c>
      <c r="L180" s="27">
        <v>0</v>
      </c>
      <c r="M180" s="27">
        <v>57707.68</v>
      </c>
      <c r="N180" s="27">
        <v>0</v>
      </c>
      <c r="O180" s="27">
        <v>-21207.68</v>
      </c>
      <c r="P180" s="28">
        <v>1.581</v>
      </c>
      <c r="Q180" s="27">
        <f>J180</f>
        <v>75175.37</v>
      </c>
      <c r="R180" s="27"/>
      <c r="S180" s="27">
        <f t="shared" ref="S180:S188" si="75">R180+Q180</f>
        <v>75175.37</v>
      </c>
      <c r="T180" s="27">
        <v>75175.37</v>
      </c>
      <c r="U180" s="27">
        <f>S180-T180</f>
        <v>0</v>
      </c>
    </row>
    <row r="181" spans="1:26" ht="24.95" customHeight="1" outlineLevel="1" x14ac:dyDescent="0.2">
      <c r="A181" s="26" t="s">
        <v>331</v>
      </c>
      <c r="B181" s="30">
        <v>431</v>
      </c>
      <c r="C181" s="30" t="str">
        <f>LEFT(F181,1)</f>
        <v>4</v>
      </c>
      <c r="D181" s="30" t="str">
        <f>LEFT(F181,2)</f>
        <v>42</v>
      </c>
      <c r="E181" s="26" t="str">
        <f t="shared" si="74"/>
        <v>422</v>
      </c>
      <c r="F181" s="26" t="s">
        <v>272</v>
      </c>
      <c r="G181" s="26" t="s">
        <v>273</v>
      </c>
      <c r="H181" s="26" t="s">
        <v>274</v>
      </c>
      <c r="I181" s="27">
        <v>0</v>
      </c>
      <c r="J181" s="27">
        <f t="shared" ref="J181:J188" si="76">T181</f>
        <v>0</v>
      </c>
      <c r="K181" s="27">
        <v>0</v>
      </c>
      <c r="L181" s="27">
        <v>0</v>
      </c>
      <c r="M181" s="27">
        <v>0</v>
      </c>
      <c r="N181" s="27">
        <v>0</v>
      </c>
      <c r="O181" s="27">
        <v>0</v>
      </c>
      <c r="P181" s="28">
        <v>0</v>
      </c>
      <c r="Q181" s="27">
        <f>J181</f>
        <v>0</v>
      </c>
      <c r="R181" s="27"/>
      <c r="S181" s="27">
        <f t="shared" si="75"/>
        <v>0</v>
      </c>
      <c r="T181" s="27"/>
      <c r="U181" s="27">
        <f>S181-T181</f>
        <v>0</v>
      </c>
    </row>
    <row r="182" spans="1:26" ht="24.95" customHeight="1" outlineLevel="1" x14ac:dyDescent="0.2">
      <c r="A182" s="26" t="s">
        <v>331</v>
      </c>
      <c r="B182" s="30">
        <v>431</v>
      </c>
      <c r="C182" s="30" t="str">
        <f>LEFT(F182,1)</f>
        <v>4</v>
      </c>
      <c r="D182" s="30" t="str">
        <f>LEFT(F182,2)</f>
        <v>42</v>
      </c>
      <c r="E182" s="26" t="str">
        <f t="shared" si="74"/>
        <v>422</v>
      </c>
      <c r="F182" s="26" t="s">
        <v>30</v>
      </c>
      <c r="G182" s="26" t="s">
        <v>275</v>
      </c>
      <c r="H182" s="26" t="s">
        <v>32</v>
      </c>
      <c r="I182" s="27">
        <v>15000</v>
      </c>
      <c r="J182" s="27">
        <f t="shared" si="76"/>
        <v>14600.54</v>
      </c>
      <c r="K182" s="27">
        <v>14575</v>
      </c>
      <c r="L182" s="27">
        <v>0</v>
      </c>
      <c r="M182" s="27">
        <v>425</v>
      </c>
      <c r="N182" s="27">
        <v>0</v>
      </c>
      <c r="O182" s="27">
        <v>14575</v>
      </c>
      <c r="P182" s="28">
        <v>2.8000000000000001E-2</v>
      </c>
      <c r="Q182" s="27">
        <f>J182</f>
        <v>14600.54</v>
      </c>
      <c r="R182" s="27"/>
      <c r="S182" s="27">
        <f t="shared" si="75"/>
        <v>14600.54</v>
      </c>
      <c r="T182" s="27">
        <v>14600.54</v>
      </c>
      <c r="U182" s="27">
        <f>S182-T182</f>
        <v>0</v>
      </c>
    </row>
    <row r="183" spans="1:26" ht="24.95" customHeight="1" outlineLevel="1" x14ac:dyDescent="0.2">
      <c r="A183" s="26" t="s">
        <v>331</v>
      </c>
      <c r="B183" s="30">
        <v>431</v>
      </c>
      <c r="C183" s="30" t="str">
        <f>LEFT(F183,1)</f>
        <v>4</v>
      </c>
      <c r="D183" s="30" t="str">
        <f>LEFT(F183,2)</f>
        <v>42</v>
      </c>
      <c r="E183" s="26" t="str">
        <f t="shared" si="74"/>
        <v>422</v>
      </c>
      <c r="F183" s="26" t="s">
        <v>276</v>
      </c>
      <c r="G183" s="26" t="s">
        <v>277</v>
      </c>
      <c r="H183" s="26" t="s">
        <v>278</v>
      </c>
      <c r="I183" s="27">
        <v>0</v>
      </c>
      <c r="J183" s="27">
        <f t="shared" si="76"/>
        <v>0</v>
      </c>
      <c r="K183" s="27">
        <v>0</v>
      </c>
      <c r="L183" s="27">
        <v>0</v>
      </c>
      <c r="M183" s="27">
        <v>0</v>
      </c>
      <c r="N183" s="27">
        <v>0</v>
      </c>
      <c r="O183" s="27">
        <v>0</v>
      </c>
      <c r="P183" s="28">
        <v>0</v>
      </c>
      <c r="Q183" s="27">
        <f>J183</f>
        <v>0</v>
      </c>
      <c r="R183" s="27"/>
      <c r="S183" s="27">
        <f t="shared" si="75"/>
        <v>0</v>
      </c>
      <c r="T183" s="27"/>
      <c r="U183" s="27">
        <f>S183-T183</f>
        <v>0</v>
      </c>
    </row>
    <row r="184" spans="1:26" ht="24.95" customHeight="1" outlineLevel="1" x14ac:dyDescent="0.2">
      <c r="J184" s="27">
        <f t="shared" si="76"/>
        <v>0</v>
      </c>
      <c r="S184" s="27">
        <f t="shared" si="75"/>
        <v>0</v>
      </c>
    </row>
    <row r="185" spans="1:26" outlineLevel="1" x14ac:dyDescent="0.2">
      <c r="A185" s="26" t="s">
        <v>331</v>
      </c>
      <c r="B185" s="30">
        <v>431</v>
      </c>
      <c r="C185" s="30" t="str">
        <f>LEFT(F185,1)</f>
        <v>4</v>
      </c>
      <c r="D185" s="30" t="str">
        <f>LEFT(F185,2)</f>
        <v>42</v>
      </c>
      <c r="E185" s="26" t="str">
        <f t="shared" si="74"/>
        <v>423</v>
      </c>
      <c r="F185" s="4" t="s">
        <v>14</v>
      </c>
      <c r="G185" s="4" t="s">
        <v>15</v>
      </c>
      <c r="H185" s="4" t="s">
        <v>16</v>
      </c>
      <c r="I185" s="5">
        <v>1500</v>
      </c>
      <c r="J185" s="27">
        <f t="shared" si="76"/>
        <v>1500</v>
      </c>
      <c r="K185" s="5">
        <v>0</v>
      </c>
      <c r="L185" s="5">
        <v>0</v>
      </c>
      <c r="M185" s="5">
        <v>1500</v>
      </c>
      <c r="N185" s="5">
        <v>0</v>
      </c>
      <c r="O185" s="5">
        <v>0</v>
      </c>
      <c r="P185" s="6">
        <v>1</v>
      </c>
      <c r="Q185" s="27">
        <f>J185</f>
        <v>1500</v>
      </c>
      <c r="R185" s="27"/>
      <c r="S185" s="27">
        <f t="shared" si="75"/>
        <v>1500</v>
      </c>
      <c r="T185" s="27">
        <v>1500</v>
      </c>
      <c r="U185" s="27">
        <f>S185-T185</f>
        <v>0</v>
      </c>
    </row>
    <row r="186" spans="1:26" outlineLevel="1" x14ac:dyDescent="0.2">
      <c r="A186" s="26" t="s">
        <v>331</v>
      </c>
      <c r="B186" s="30">
        <v>431</v>
      </c>
      <c r="C186" s="30" t="str">
        <f>LEFT(F186,1)</f>
        <v>4</v>
      </c>
      <c r="D186" s="30" t="str">
        <f>LEFT(F186,2)</f>
        <v>42</v>
      </c>
      <c r="E186" s="26" t="str">
        <f t="shared" si="74"/>
        <v>424</v>
      </c>
      <c r="F186" s="4" t="s">
        <v>17</v>
      </c>
      <c r="G186" s="4" t="s">
        <v>18</v>
      </c>
      <c r="H186" s="4" t="s">
        <v>19</v>
      </c>
      <c r="I186" s="5">
        <v>0</v>
      </c>
      <c r="J186" s="27">
        <f t="shared" si="76"/>
        <v>10.3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6">
        <v>0</v>
      </c>
      <c r="Q186" s="27">
        <f>J186</f>
        <v>10.3</v>
      </c>
      <c r="R186" s="27"/>
      <c r="S186" s="27">
        <f t="shared" si="75"/>
        <v>10.3</v>
      </c>
      <c r="T186" s="27">
        <v>10.3</v>
      </c>
      <c r="U186" s="27">
        <f>S186-T186</f>
        <v>0</v>
      </c>
    </row>
    <row r="187" spans="1:26" outlineLevel="1" x14ac:dyDescent="0.2">
      <c r="A187" s="26" t="s">
        <v>331</v>
      </c>
      <c r="B187" s="30">
        <v>431</v>
      </c>
      <c r="C187" s="30" t="str">
        <f>LEFT(F187,1)</f>
        <v>4</v>
      </c>
      <c r="D187" s="30" t="str">
        <f>LEFT(F187,2)</f>
        <v>42</v>
      </c>
      <c r="E187" s="26" t="str">
        <f t="shared" si="74"/>
        <v>426</v>
      </c>
      <c r="F187" s="4" t="s">
        <v>20</v>
      </c>
      <c r="G187" s="4" t="s">
        <v>21</v>
      </c>
      <c r="H187" s="4" t="s">
        <v>22</v>
      </c>
      <c r="I187" s="5">
        <v>4500</v>
      </c>
      <c r="J187" s="27">
        <f t="shared" si="76"/>
        <v>3063</v>
      </c>
      <c r="K187" s="5">
        <v>4354.0200000000004</v>
      </c>
      <c r="L187" s="5">
        <v>0</v>
      </c>
      <c r="M187" s="5">
        <v>145.97999999999999</v>
      </c>
      <c r="N187" s="5">
        <v>0</v>
      </c>
      <c r="O187" s="5">
        <v>4354.0200000000004</v>
      </c>
      <c r="P187" s="6">
        <v>3.2000000000000001E-2</v>
      </c>
      <c r="Q187" s="27">
        <f>J187</f>
        <v>3063</v>
      </c>
      <c r="R187" s="27"/>
      <c r="S187" s="27">
        <f t="shared" si="75"/>
        <v>3063</v>
      </c>
      <c r="T187" s="27">
        <v>3063</v>
      </c>
      <c r="U187" s="27">
        <f>S187-T187</f>
        <v>0</v>
      </c>
    </row>
    <row r="188" spans="1:26" outlineLevel="1" x14ac:dyDescent="0.2">
      <c r="A188" s="26" t="s">
        <v>331</v>
      </c>
      <c r="B188" s="30">
        <v>431</v>
      </c>
      <c r="C188" s="30" t="str">
        <f>LEFT(F188,1)</f>
        <v>4</v>
      </c>
      <c r="D188" s="30" t="str">
        <f>LEFT(F188,2)</f>
        <v>45</v>
      </c>
      <c r="E188" s="26" t="str">
        <f t="shared" si="74"/>
        <v>451</v>
      </c>
      <c r="F188" s="4" t="s">
        <v>23</v>
      </c>
      <c r="G188" s="4" t="s">
        <v>24</v>
      </c>
      <c r="H188" s="4" t="s">
        <v>25</v>
      </c>
      <c r="I188" s="5">
        <v>0</v>
      </c>
      <c r="J188" s="27">
        <f t="shared" si="76"/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6">
        <v>0</v>
      </c>
      <c r="Q188" s="27">
        <f>J188</f>
        <v>0</v>
      </c>
      <c r="R188" s="27"/>
      <c r="S188" s="27">
        <f t="shared" si="75"/>
        <v>0</v>
      </c>
      <c r="T188" s="27"/>
      <c r="U188" s="27">
        <f>S188-T188</f>
        <v>0</v>
      </c>
      <c r="W188" s="38" t="s">
        <v>347</v>
      </c>
      <c r="X188" s="38" t="s">
        <v>351</v>
      </c>
      <c r="Y188" s="38" t="s">
        <v>348</v>
      </c>
      <c r="Z188" s="38" t="s">
        <v>349</v>
      </c>
    </row>
    <row r="189" spans="1:26" ht="20.100000000000001" customHeight="1" x14ac:dyDescent="0.2">
      <c r="F189" s="216" t="s">
        <v>26</v>
      </c>
      <c r="G189" s="216"/>
      <c r="H189" s="216"/>
      <c r="I189" s="52">
        <f>SUMIFS(I190:I356,$A190:$A356,"K212401",$B190:$B356,"521")</f>
        <v>548500</v>
      </c>
      <c r="J189" s="52">
        <f t="shared" ref="J189:O189" si="77">SUMIFS(J190:J356,$A190:$A356,"K212401",$B190:$B356,"521")</f>
        <v>701678.55</v>
      </c>
      <c r="K189" s="52">
        <f t="shared" si="77"/>
        <v>156543.43</v>
      </c>
      <c r="L189" s="52">
        <f t="shared" si="77"/>
        <v>0</v>
      </c>
      <c r="M189" s="52">
        <f t="shared" si="77"/>
        <v>391956.57</v>
      </c>
      <c r="N189" s="52">
        <f t="shared" si="77"/>
        <v>0</v>
      </c>
      <c r="O189" s="52">
        <f t="shared" si="77"/>
        <v>156543.43</v>
      </c>
      <c r="P189" s="53">
        <v>0.71499999999999997</v>
      </c>
      <c r="Q189" s="52">
        <f>SUMIFS(Q190:Q356,$A190:$A356,"K212401",$B190:$B356,"521")</f>
        <v>701678.55</v>
      </c>
      <c r="R189" s="52">
        <f>SUMIFS(R190:R356,$A190:$A356,"K212401",$B190:$B356,"521")</f>
        <v>0</v>
      </c>
      <c r="S189" s="52">
        <f>SUMIFS(S190:S356,$A190:$A356,"K212401",$B190:$B356,"521")</f>
        <v>701678.55</v>
      </c>
      <c r="T189" s="52">
        <f>SUMIFS(T190:T356,$A190:$A356,"K212401",$B190:$B356,"521")</f>
        <v>701678.55</v>
      </c>
      <c r="U189" s="52">
        <f>SUMIFS(U190:U356,$A190:$A356,"K212401",$B190:$B356,"521")</f>
        <v>0</v>
      </c>
      <c r="V189" s="32"/>
      <c r="W189" s="52">
        <f>SUMIFS(W190:W356,$A190:$A356,"K212401",$B190:$B356,"521")</f>
        <v>342764.86</v>
      </c>
      <c r="X189" s="52">
        <f>SUMIFS(X190:X356,$A190:$A356,"K212401",$B190:$B356,"521")</f>
        <v>319999.93</v>
      </c>
      <c r="Y189" s="52">
        <f>SUMIFS(Y190:Y356,$A190:$A356,"K212401",$B190:$B356,"521")</f>
        <v>25990.7</v>
      </c>
      <c r="Z189" s="52">
        <f>SUMIFS(Z190:Z356,$A190:$A356,"K212401",$B190:$B356,"521")</f>
        <v>12923.06</v>
      </c>
    </row>
    <row r="190" spans="1:26" outlineLevel="1" x14ac:dyDescent="0.2">
      <c r="A190" s="26" t="s">
        <v>331</v>
      </c>
      <c r="B190" s="30">
        <v>521</v>
      </c>
      <c r="C190" s="30" t="str">
        <f>LEFT(F190,1)</f>
        <v>4</v>
      </c>
      <c r="D190" s="30" t="str">
        <f>LEFT(F190,2)</f>
        <v>42</v>
      </c>
      <c r="E190" s="26" t="str">
        <f t="shared" si="74"/>
        <v>422</v>
      </c>
      <c r="F190" s="4" t="s">
        <v>27</v>
      </c>
      <c r="G190" s="4" t="s">
        <v>28</v>
      </c>
      <c r="H190" s="4" t="s">
        <v>29</v>
      </c>
      <c r="I190" s="5">
        <v>0</v>
      </c>
      <c r="J190" s="5">
        <f>T190</f>
        <v>221.98</v>
      </c>
      <c r="K190" s="5">
        <v>-510.93</v>
      </c>
      <c r="L190" s="5">
        <v>0</v>
      </c>
      <c r="M190" s="5">
        <v>510.93</v>
      </c>
      <c r="N190" s="5">
        <v>0</v>
      </c>
      <c r="O190" s="5">
        <v>-510.93</v>
      </c>
      <c r="P190" s="6">
        <v>0</v>
      </c>
      <c r="Q190" s="27">
        <f>J190</f>
        <v>221.98</v>
      </c>
      <c r="R190" s="27"/>
      <c r="S190" s="27">
        <f>R190+Q190</f>
        <v>221.98</v>
      </c>
      <c r="T190" s="27">
        <f>W190+X190+Y190+Z190</f>
        <v>221.98</v>
      </c>
      <c r="U190" s="27">
        <f>S190-T190</f>
        <v>0</v>
      </c>
      <c r="W190" s="27">
        <v>221.98</v>
      </c>
      <c r="X190" s="27"/>
      <c r="Y190" s="27"/>
      <c r="Z190" s="27"/>
    </row>
    <row r="191" spans="1:26" outlineLevel="1" x14ac:dyDescent="0.2">
      <c r="A191" s="26" t="s">
        <v>331</v>
      </c>
      <c r="B191" s="30">
        <v>521</v>
      </c>
      <c r="C191" s="30" t="str">
        <f>LEFT(F191,1)</f>
        <v>4</v>
      </c>
      <c r="D191" s="30" t="str">
        <f>LEFT(F191,2)</f>
        <v>42</v>
      </c>
      <c r="E191" s="26" t="str">
        <f t="shared" si="74"/>
        <v>422</v>
      </c>
      <c r="F191" s="4" t="s">
        <v>30</v>
      </c>
      <c r="G191" s="4" t="s">
        <v>31</v>
      </c>
      <c r="H191" s="4" t="s">
        <v>32</v>
      </c>
      <c r="I191" s="5">
        <v>0</v>
      </c>
      <c r="J191" s="5">
        <f>T191</f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6">
        <v>0</v>
      </c>
      <c r="Q191" s="27">
        <f>J191</f>
        <v>0</v>
      </c>
      <c r="R191" s="27"/>
      <c r="S191" s="27">
        <f>R191+Q191</f>
        <v>0</v>
      </c>
      <c r="T191" s="27">
        <f>W191+X191+Y191+Z191</f>
        <v>0</v>
      </c>
      <c r="U191" s="27">
        <f>S191-T191</f>
        <v>0</v>
      </c>
      <c r="W191" s="27"/>
      <c r="X191" s="27"/>
      <c r="Y191" s="27"/>
      <c r="Z191" s="27"/>
    </row>
    <row r="192" spans="1:26" outlineLevel="1" x14ac:dyDescent="0.2">
      <c r="A192" s="26" t="s">
        <v>331</v>
      </c>
      <c r="B192" s="30">
        <v>521</v>
      </c>
      <c r="C192" s="30" t="str">
        <f>LEFT(F192,1)</f>
        <v>4</v>
      </c>
      <c r="D192" s="30" t="str">
        <f>LEFT(F192,2)</f>
        <v>42</v>
      </c>
      <c r="E192" s="26" t="str">
        <f t="shared" si="74"/>
        <v>424</v>
      </c>
      <c r="F192" s="4" t="s">
        <v>17</v>
      </c>
      <c r="G192" s="4" t="s">
        <v>33</v>
      </c>
      <c r="H192" s="4" t="s">
        <v>19</v>
      </c>
      <c r="I192" s="5">
        <v>548500</v>
      </c>
      <c r="J192" s="5">
        <f>T192</f>
        <v>701456.57000000007</v>
      </c>
      <c r="K192" s="5">
        <v>157054.35999999999</v>
      </c>
      <c r="L192" s="5">
        <v>0</v>
      </c>
      <c r="M192" s="5">
        <v>391445.64</v>
      </c>
      <c r="N192" s="5">
        <v>0</v>
      </c>
      <c r="O192" s="5">
        <v>157054.35999999999</v>
      </c>
      <c r="P192" s="6">
        <v>0.71399999999999997</v>
      </c>
      <c r="Q192" s="27">
        <f>J192</f>
        <v>701456.57000000007</v>
      </c>
      <c r="R192" s="27"/>
      <c r="S192" s="27">
        <f>R192+Q192</f>
        <v>701456.57000000007</v>
      </c>
      <c r="T192" s="27">
        <f>W192+X192+Y192+Z192</f>
        <v>701456.57000000007</v>
      </c>
      <c r="U192" s="27">
        <f>S192-T192</f>
        <v>0</v>
      </c>
      <c r="W192" s="27">
        <v>342542.88</v>
      </c>
      <c r="X192" s="27">
        <v>319999.93</v>
      </c>
      <c r="Y192" s="27">
        <v>25990.7</v>
      </c>
      <c r="Z192" s="27">
        <v>12923.06</v>
      </c>
    </row>
    <row r="193" spans="1:24" ht="20.100000000000001" customHeight="1" x14ac:dyDescent="0.2">
      <c r="F193" s="216" t="s">
        <v>34</v>
      </c>
      <c r="G193" s="216"/>
      <c r="H193" s="216"/>
      <c r="I193" s="52">
        <f>SUMIFS(I194:I360,$A194:$A360,"K212401",$B194:$B360,"541")</f>
        <v>800</v>
      </c>
      <c r="J193" s="52">
        <f t="shared" ref="J193:U193" si="78">SUMIFS(J194:J360,$A194:$A360,"K212401",$B194:$B360,"541")</f>
        <v>2367.77</v>
      </c>
      <c r="K193" s="52">
        <f t="shared" si="78"/>
        <v>-1421.79</v>
      </c>
      <c r="L193" s="52">
        <f t="shared" si="78"/>
        <v>0</v>
      </c>
      <c r="M193" s="52">
        <f t="shared" si="78"/>
        <v>2221.79</v>
      </c>
      <c r="N193" s="52">
        <f t="shared" si="78"/>
        <v>0</v>
      </c>
      <c r="O193" s="52">
        <f t="shared" si="78"/>
        <v>-1421.79</v>
      </c>
      <c r="P193" s="53">
        <f t="shared" si="78"/>
        <v>2.7770000000000001</v>
      </c>
      <c r="Q193" s="52">
        <f t="shared" si="78"/>
        <v>2367.77</v>
      </c>
      <c r="R193" s="52">
        <f t="shared" si="78"/>
        <v>0</v>
      </c>
      <c r="S193" s="52">
        <f t="shared" si="78"/>
        <v>2367.77</v>
      </c>
      <c r="T193" s="52">
        <f t="shared" si="78"/>
        <v>2367.77</v>
      </c>
      <c r="U193" s="52">
        <f t="shared" si="78"/>
        <v>0</v>
      </c>
      <c r="V193" s="32"/>
    </row>
    <row r="194" spans="1:24" outlineLevel="1" x14ac:dyDescent="0.2">
      <c r="A194" s="26" t="s">
        <v>331</v>
      </c>
      <c r="B194" s="30">
        <v>541</v>
      </c>
      <c r="C194" s="30" t="str">
        <f>LEFT(F194,1)</f>
        <v>4</v>
      </c>
      <c r="D194" s="30" t="str">
        <f>LEFT(F194,2)</f>
        <v>42</v>
      </c>
      <c r="E194" s="26" t="str">
        <f t="shared" si="74"/>
        <v>422</v>
      </c>
      <c r="F194" s="4" t="s">
        <v>27</v>
      </c>
      <c r="G194" s="4" t="s">
        <v>35</v>
      </c>
      <c r="H194" s="4" t="s">
        <v>29</v>
      </c>
      <c r="I194" s="5">
        <v>800</v>
      </c>
      <c r="J194" s="5">
        <f>T194</f>
        <v>2221.79</v>
      </c>
      <c r="K194" s="5">
        <v>-1421.79</v>
      </c>
      <c r="L194" s="5">
        <v>0</v>
      </c>
      <c r="M194" s="5">
        <v>2221.79</v>
      </c>
      <c r="N194" s="5">
        <v>0</v>
      </c>
      <c r="O194" s="5">
        <v>-1421.79</v>
      </c>
      <c r="P194" s="6">
        <v>2.7770000000000001</v>
      </c>
      <c r="Q194" s="27">
        <f>J194</f>
        <v>2221.79</v>
      </c>
      <c r="R194" s="27"/>
      <c r="S194" s="27">
        <f>R194+Q194</f>
        <v>2221.79</v>
      </c>
      <c r="T194" s="27">
        <v>2221.79</v>
      </c>
      <c r="U194" s="27">
        <f>S194-T194</f>
        <v>0</v>
      </c>
    </row>
    <row r="195" spans="1:24" outlineLevel="1" x14ac:dyDescent="0.2">
      <c r="A195" s="26" t="s">
        <v>331</v>
      </c>
      <c r="B195" s="30">
        <v>541</v>
      </c>
      <c r="C195" s="30" t="str">
        <f>LEFT(F195,1)</f>
        <v>4</v>
      </c>
      <c r="D195" s="30" t="str">
        <f>LEFT(F195,2)</f>
        <v>42</v>
      </c>
      <c r="E195" s="26" t="str">
        <f t="shared" si="74"/>
        <v>424</v>
      </c>
      <c r="F195" s="4" t="s">
        <v>17</v>
      </c>
      <c r="G195" s="4" t="s">
        <v>36</v>
      </c>
      <c r="H195" s="4" t="s">
        <v>19</v>
      </c>
      <c r="I195" s="5">
        <v>0</v>
      </c>
      <c r="J195" s="5">
        <f>T195</f>
        <v>145.97999999999999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6">
        <v>0</v>
      </c>
      <c r="Q195" s="27">
        <f>J195</f>
        <v>145.97999999999999</v>
      </c>
      <c r="R195" s="27"/>
      <c r="S195" s="27">
        <f>R195+Q195</f>
        <v>145.97999999999999</v>
      </c>
      <c r="T195" s="27">
        <v>145.97999999999999</v>
      </c>
      <c r="U195" s="27">
        <f>S195-T195</f>
        <v>0</v>
      </c>
    </row>
    <row r="196" spans="1:24" ht="20.100000000000001" customHeight="1" x14ac:dyDescent="0.2">
      <c r="F196" s="216" t="s">
        <v>37</v>
      </c>
      <c r="G196" s="216"/>
      <c r="H196" s="216"/>
      <c r="I196" s="52">
        <f>SUMIFS(I197:I363,$A197:$A363,"K212401",$B197:$B363,"571")</f>
        <v>0</v>
      </c>
      <c r="J196" s="52">
        <f t="shared" ref="J196:U196" si="79">SUMIFS(J197:J363,$A197:$A363,"K212401",$B197:$B363,"571")</f>
        <v>0</v>
      </c>
      <c r="K196" s="52">
        <f t="shared" si="79"/>
        <v>0</v>
      </c>
      <c r="L196" s="52">
        <f t="shared" si="79"/>
        <v>0</v>
      </c>
      <c r="M196" s="52">
        <f t="shared" si="79"/>
        <v>0</v>
      </c>
      <c r="N196" s="52">
        <f t="shared" si="79"/>
        <v>0</v>
      </c>
      <c r="O196" s="52">
        <f t="shared" si="79"/>
        <v>0</v>
      </c>
      <c r="P196" s="53">
        <f t="shared" si="79"/>
        <v>0</v>
      </c>
      <c r="Q196" s="52">
        <f t="shared" si="79"/>
        <v>0</v>
      </c>
      <c r="R196" s="52">
        <f t="shared" si="79"/>
        <v>0</v>
      </c>
      <c r="S196" s="52">
        <f t="shared" si="79"/>
        <v>0</v>
      </c>
      <c r="T196" s="52">
        <f t="shared" si="79"/>
        <v>0</v>
      </c>
      <c r="U196" s="52">
        <f t="shared" si="79"/>
        <v>0</v>
      </c>
      <c r="V196" s="32"/>
    </row>
    <row r="197" spans="1:24" outlineLevel="1" x14ac:dyDescent="0.2">
      <c r="A197" s="26" t="s">
        <v>331</v>
      </c>
      <c r="B197" s="30">
        <v>571</v>
      </c>
      <c r="C197" s="30" t="str">
        <f>LEFT(F197,1)</f>
        <v>3</v>
      </c>
      <c r="D197" s="30" t="str">
        <f>LEFT(F197,2)</f>
        <v>32</v>
      </c>
      <c r="E197" s="26" t="str">
        <f t="shared" si="74"/>
        <v>323</v>
      </c>
      <c r="F197" s="4" t="s">
        <v>38</v>
      </c>
      <c r="G197" s="4" t="s">
        <v>39</v>
      </c>
      <c r="H197" s="4" t="s">
        <v>40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6">
        <v>0</v>
      </c>
      <c r="Q197" s="27">
        <f>J197</f>
        <v>0</v>
      </c>
      <c r="R197" s="27"/>
      <c r="S197" s="27">
        <f>R197+Q197</f>
        <v>0</v>
      </c>
      <c r="T197" s="27"/>
      <c r="U197" s="27">
        <f>S197-T197</f>
        <v>0</v>
      </c>
    </row>
    <row r="198" spans="1:24" outlineLevel="1" x14ac:dyDescent="0.2">
      <c r="A198" s="26" t="s">
        <v>331</v>
      </c>
      <c r="B198" s="30">
        <v>571</v>
      </c>
      <c r="C198" s="30" t="str">
        <f>LEFT(F198,1)</f>
        <v>3</v>
      </c>
      <c r="D198" s="30" t="str">
        <f>LEFT(F198,2)</f>
        <v>32</v>
      </c>
      <c r="E198" s="26" t="str">
        <f t="shared" si="74"/>
        <v>323</v>
      </c>
      <c r="F198" s="4" t="s">
        <v>41</v>
      </c>
      <c r="G198" s="4" t="s">
        <v>42</v>
      </c>
      <c r="H198" s="4" t="s">
        <v>43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6">
        <v>0</v>
      </c>
      <c r="Q198" s="27">
        <f>J198</f>
        <v>0</v>
      </c>
      <c r="R198" s="27"/>
      <c r="S198" s="27">
        <f>R198+Q198</f>
        <v>0</v>
      </c>
      <c r="T198" s="27"/>
      <c r="U198" s="27">
        <f>S198-T198</f>
        <v>0</v>
      </c>
    </row>
    <row r="199" spans="1:24" outlineLevel="1" x14ac:dyDescent="0.2">
      <c r="A199" s="26" t="s">
        <v>331</v>
      </c>
      <c r="B199" s="30">
        <v>571</v>
      </c>
      <c r="C199" s="30" t="str">
        <f>LEFT(F199,1)</f>
        <v>4</v>
      </c>
      <c r="D199" s="30" t="str">
        <f>LEFT(F199,2)</f>
        <v>45</v>
      </c>
      <c r="E199" s="26" t="str">
        <f t="shared" si="74"/>
        <v>451</v>
      </c>
      <c r="F199" s="4" t="s">
        <v>23</v>
      </c>
      <c r="G199" s="4" t="s">
        <v>44</v>
      </c>
      <c r="H199" s="4" t="s">
        <v>25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6">
        <v>0</v>
      </c>
      <c r="Q199" s="27">
        <f>J199</f>
        <v>0</v>
      </c>
      <c r="R199" s="27"/>
      <c r="S199" s="27">
        <f>R199+Q199</f>
        <v>0</v>
      </c>
      <c r="T199" s="27"/>
      <c r="U199" s="27">
        <f>S199-T199</f>
        <v>0</v>
      </c>
      <c r="W199" s="55" t="s">
        <v>352</v>
      </c>
      <c r="X199" s="55">
        <v>614</v>
      </c>
    </row>
    <row r="200" spans="1:24" ht="20.100000000000001" customHeight="1" x14ac:dyDescent="0.2">
      <c r="F200" s="216" t="s">
        <v>45</v>
      </c>
      <c r="G200" s="216"/>
      <c r="H200" s="216"/>
      <c r="I200" s="52">
        <f>SUMIFS(I201:I367,$A201:$A367,"K212401",$B201:$B367,"611")</f>
        <v>100000</v>
      </c>
      <c r="J200" s="52">
        <f t="shared" ref="J200:U200" si="80">SUMIFS(J201:J367,$A201:$A367,"K212401",$B201:$B367,"611")</f>
        <v>94041.19</v>
      </c>
      <c r="K200" s="52">
        <f t="shared" si="80"/>
        <v>100000</v>
      </c>
      <c r="L200" s="52">
        <f t="shared" si="80"/>
        <v>0</v>
      </c>
      <c r="M200" s="52">
        <f t="shared" si="80"/>
        <v>0</v>
      </c>
      <c r="N200" s="52">
        <f t="shared" si="80"/>
        <v>0</v>
      </c>
      <c r="O200" s="52">
        <f t="shared" si="80"/>
        <v>100000</v>
      </c>
      <c r="P200" s="53">
        <f t="shared" si="80"/>
        <v>0</v>
      </c>
      <c r="Q200" s="52">
        <f t="shared" si="80"/>
        <v>94041.19</v>
      </c>
      <c r="R200" s="52">
        <f t="shared" si="80"/>
        <v>0</v>
      </c>
      <c r="S200" s="52">
        <f t="shared" si="80"/>
        <v>94041.19</v>
      </c>
      <c r="T200" s="52">
        <f t="shared" si="80"/>
        <v>94041.19</v>
      </c>
      <c r="U200" s="52">
        <f t="shared" si="80"/>
        <v>0</v>
      </c>
      <c r="V200" s="32"/>
      <c r="W200" s="52">
        <f>SUMIFS(W201:W367,$A201:$A367,"K212401",$B201:$B367,"611")</f>
        <v>149</v>
      </c>
      <c r="X200" s="52">
        <f>SUMIFS(X201:X367,$A201:$A367,"K212401",$B201:$B367,"611")</f>
        <v>93892.19</v>
      </c>
    </row>
    <row r="201" spans="1:24" outlineLevel="1" x14ac:dyDescent="0.2">
      <c r="A201" s="26" t="s">
        <v>331</v>
      </c>
      <c r="B201" s="30">
        <v>611</v>
      </c>
      <c r="C201" s="30" t="str">
        <f>LEFT(F201,1)</f>
        <v>4</v>
      </c>
      <c r="D201" s="30" t="str">
        <f>LEFT(F201,2)</f>
        <v>42</v>
      </c>
      <c r="E201" s="26" t="str">
        <f t="shared" si="74"/>
        <v>422</v>
      </c>
      <c r="F201" s="4" t="s">
        <v>27</v>
      </c>
      <c r="G201" s="4" t="s">
        <v>46</v>
      </c>
      <c r="H201" s="4" t="s">
        <v>29</v>
      </c>
      <c r="I201" s="5">
        <v>0</v>
      </c>
      <c r="J201" s="5">
        <f>T201</f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6">
        <v>0</v>
      </c>
      <c r="Q201" s="27">
        <f>J201</f>
        <v>0</v>
      </c>
      <c r="R201" s="27"/>
      <c r="S201" s="27">
        <f>R201+Q201</f>
        <v>0</v>
      </c>
      <c r="T201" s="27">
        <f>W201+X201</f>
        <v>0</v>
      </c>
      <c r="U201" s="27">
        <f>S201-T201</f>
        <v>0</v>
      </c>
      <c r="W201" s="27"/>
      <c r="X201" s="27"/>
    </row>
    <row r="202" spans="1:24" outlineLevel="1" x14ac:dyDescent="0.2">
      <c r="A202" s="26" t="s">
        <v>331</v>
      </c>
      <c r="B202" s="30">
        <v>611</v>
      </c>
      <c r="C202" s="30" t="str">
        <f>LEFT(F202,1)</f>
        <v>4</v>
      </c>
      <c r="D202" s="30" t="str">
        <f>LEFT(F202,2)</f>
        <v>42</v>
      </c>
      <c r="E202" s="26" t="str">
        <f t="shared" si="74"/>
        <v>424</v>
      </c>
      <c r="F202" s="4" t="s">
        <v>17</v>
      </c>
      <c r="G202" s="4" t="s">
        <v>47</v>
      </c>
      <c r="H202" s="4" t="s">
        <v>19</v>
      </c>
      <c r="I202" s="5">
        <v>100000</v>
      </c>
      <c r="J202" s="5">
        <f>T202</f>
        <v>94041.19</v>
      </c>
      <c r="K202" s="5">
        <v>100000</v>
      </c>
      <c r="L202" s="5">
        <v>0</v>
      </c>
      <c r="M202" s="5">
        <v>0</v>
      </c>
      <c r="N202" s="5">
        <v>0</v>
      </c>
      <c r="O202" s="5">
        <v>100000</v>
      </c>
      <c r="P202" s="6">
        <v>0</v>
      </c>
      <c r="Q202" s="27">
        <f>J202</f>
        <v>94041.19</v>
      </c>
      <c r="R202" s="27"/>
      <c r="S202" s="27">
        <f>R202+Q202</f>
        <v>94041.19</v>
      </c>
      <c r="T202" s="27">
        <f>W202+X202</f>
        <v>94041.19</v>
      </c>
      <c r="U202" s="27">
        <f>S202-T202</f>
        <v>0</v>
      </c>
      <c r="W202" s="27">
        <v>149</v>
      </c>
      <c r="X202" s="27">
        <v>93892.19</v>
      </c>
    </row>
    <row r="203" spans="1:24" ht="20.100000000000001" customHeight="1" x14ac:dyDescent="0.2">
      <c r="F203" s="216" t="s">
        <v>48</v>
      </c>
      <c r="G203" s="216"/>
      <c r="H203" s="216"/>
      <c r="I203" s="52">
        <f>SUMIFS(I204:I370,$A204:$A370,"K212401",$B204:$B370,"711")</f>
        <v>1300</v>
      </c>
      <c r="J203" s="52">
        <f t="shared" ref="J203:U203" si="81">SUMIFS(J204:J370,$A204:$A370,"K212401",$B204:$B370,"711")</f>
        <v>0</v>
      </c>
      <c r="K203" s="52">
        <f t="shared" si="81"/>
        <v>1300</v>
      </c>
      <c r="L203" s="52">
        <f t="shared" si="81"/>
        <v>0</v>
      </c>
      <c r="M203" s="52">
        <f t="shared" si="81"/>
        <v>0</v>
      </c>
      <c r="N203" s="52">
        <f t="shared" si="81"/>
        <v>0</v>
      </c>
      <c r="O203" s="52">
        <f t="shared" si="81"/>
        <v>1300</v>
      </c>
      <c r="P203" s="53">
        <f t="shared" si="81"/>
        <v>0</v>
      </c>
      <c r="Q203" s="52">
        <f t="shared" si="81"/>
        <v>0</v>
      </c>
      <c r="R203" s="52">
        <f t="shared" si="81"/>
        <v>0</v>
      </c>
      <c r="S203" s="52">
        <f t="shared" si="81"/>
        <v>0</v>
      </c>
      <c r="T203" s="52">
        <f t="shared" si="81"/>
        <v>0</v>
      </c>
      <c r="U203" s="52">
        <f t="shared" si="81"/>
        <v>0</v>
      </c>
      <c r="V203" s="32"/>
    </row>
    <row r="204" spans="1:24" outlineLevel="1" x14ac:dyDescent="0.2">
      <c r="A204" s="26" t="s">
        <v>331</v>
      </c>
      <c r="B204" s="30">
        <v>711</v>
      </c>
      <c r="C204" s="30" t="str">
        <f>LEFT(F204,1)</f>
        <v>4</v>
      </c>
      <c r="D204" s="30" t="str">
        <f>LEFT(F204,2)</f>
        <v>42</v>
      </c>
      <c r="E204" s="26" t="str">
        <f t="shared" si="74"/>
        <v>422</v>
      </c>
      <c r="F204" s="4" t="s">
        <v>27</v>
      </c>
      <c r="G204" s="4" t="s">
        <v>49</v>
      </c>
      <c r="H204" s="4" t="s">
        <v>29</v>
      </c>
      <c r="I204" s="5">
        <v>1300</v>
      </c>
      <c r="J204" s="5">
        <f>T204</f>
        <v>0</v>
      </c>
      <c r="K204" s="5">
        <v>1300</v>
      </c>
      <c r="L204" s="5">
        <v>0</v>
      </c>
      <c r="M204" s="5">
        <v>0</v>
      </c>
      <c r="N204" s="5">
        <v>0</v>
      </c>
      <c r="O204" s="5">
        <v>1300</v>
      </c>
      <c r="P204" s="6">
        <v>0</v>
      </c>
      <c r="Q204" s="27">
        <f>J204</f>
        <v>0</v>
      </c>
      <c r="R204" s="27"/>
      <c r="S204" s="27">
        <f>R204+Q204</f>
        <v>0</v>
      </c>
      <c r="T204" s="27"/>
      <c r="U204" s="27">
        <f>S204-T204</f>
        <v>0</v>
      </c>
    </row>
    <row r="205" spans="1:24" ht="35.1" customHeight="1" x14ac:dyDescent="0.2">
      <c r="F205" s="222" t="s">
        <v>344</v>
      </c>
      <c r="G205" s="222"/>
      <c r="H205" s="222"/>
      <c r="I205" s="39"/>
      <c r="J205" s="39"/>
      <c r="K205" s="39"/>
      <c r="L205" s="39"/>
      <c r="M205" s="39"/>
      <c r="N205" s="39"/>
      <c r="O205" s="39"/>
      <c r="P205" s="40"/>
      <c r="Q205" s="39"/>
      <c r="R205" s="39"/>
      <c r="S205" s="39"/>
      <c r="T205" s="39"/>
      <c r="U205" s="39"/>
    </row>
  </sheetData>
  <autoFilter ref="F11:U183">
    <filterColumn colId="0" showButton="0"/>
    <filterColumn colId="1" showButton="0"/>
  </autoFilter>
  <mergeCells count="32">
    <mergeCell ref="F205:H205"/>
    <mergeCell ref="F171:H171"/>
    <mergeCell ref="F179:H179"/>
    <mergeCell ref="F189:H189"/>
    <mergeCell ref="F193:H193"/>
    <mergeCell ref="F196:H196"/>
    <mergeCell ref="F200:H200"/>
    <mergeCell ref="F164:H164"/>
    <mergeCell ref="F166:H166"/>
    <mergeCell ref="F167:H167"/>
    <mergeCell ref="F170:H170"/>
    <mergeCell ref="F203:H203"/>
    <mergeCell ref="F112:H112"/>
    <mergeCell ref="F124:H124"/>
    <mergeCell ref="F137:H137"/>
    <mergeCell ref="F155:H155"/>
    <mergeCell ref="F163:H163"/>
    <mergeCell ref="F66:H66"/>
    <mergeCell ref="F95:H95"/>
    <mergeCell ref="F101:H101"/>
    <mergeCell ref="F109:H109"/>
    <mergeCell ref="F111:H111"/>
    <mergeCell ref="F10:H10"/>
    <mergeCell ref="F11:H11"/>
    <mergeCell ref="F12:H12"/>
    <mergeCell ref="F37:H37"/>
    <mergeCell ref="F39:H39"/>
    <mergeCell ref="F1:I1"/>
    <mergeCell ref="F2:I2"/>
    <mergeCell ref="F3:H3"/>
    <mergeCell ref="F7:H8"/>
    <mergeCell ref="F9:H9"/>
  </mergeCells>
  <pageMargins left="0" right="0" top="0" bottom="0.39375000000000004" header="0" footer="0"/>
  <pageSetup paperSize="9" orientation="landscape" horizontalDpi="0" verticalDpi="0"/>
  <headerFooter alignWithMargins="0">
    <oddFooter xml:space="preserve">&amp;L&amp;"Arial"&amp;8 Lista: LCW147TREW &amp;C&amp;"Arial"&amp;8 Stranica 
&amp;B&amp;P&amp;B &amp;R&amp;"Arial"&amp;8 * OBRADA LC *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0"/>
  <sheetViews>
    <sheetView showGridLines="0" topLeftCell="A16" workbookViewId="0">
      <selection activeCell="B29" sqref="B29"/>
    </sheetView>
  </sheetViews>
  <sheetFormatPr defaultRowHeight="12.75" x14ac:dyDescent="0.2"/>
  <cols>
    <col min="1" max="1" width="1.28515625" customWidth="1"/>
    <col min="2" max="2" width="6.7109375" customWidth="1"/>
    <col min="3" max="3" width="8" customWidth="1"/>
    <col min="4" max="4" width="44.28515625" customWidth="1"/>
    <col min="5" max="7" width="12.140625" customWidth="1"/>
    <col min="8" max="9" width="10.85546875" customWidth="1"/>
    <col min="10" max="10" width="13.42578125" customWidth="1"/>
    <col min="11" max="11" width="17.140625" customWidth="1"/>
    <col min="12" max="12" width="9.5703125" customWidth="1"/>
    <col min="13" max="13" width="0" hidden="1" customWidth="1"/>
    <col min="14" max="14" width="1" customWidth="1"/>
  </cols>
  <sheetData>
    <row r="1" spans="2:12" ht="22.5" x14ac:dyDescent="0.2">
      <c r="B1" s="2" t="s">
        <v>3</v>
      </c>
      <c r="C1" s="2" t="s">
        <v>4</v>
      </c>
      <c r="D1" s="2" t="s">
        <v>279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</row>
    <row r="2" spans="2:12" x14ac:dyDescent="0.2">
      <c r="B2" s="248" t="s">
        <v>50</v>
      </c>
      <c r="C2" s="247"/>
      <c r="D2" s="247"/>
      <c r="E2" s="11">
        <v>2541000</v>
      </c>
      <c r="F2" s="11">
        <v>1627775.85</v>
      </c>
      <c r="G2" s="11">
        <v>913224.15</v>
      </c>
      <c r="H2" s="11">
        <v>0</v>
      </c>
      <c r="I2" s="11">
        <v>1627775.85</v>
      </c>
      <c r="J2" s="11">
        <v>0</v>
      </c>
      <c r="K2" s="11">
        <v>913224.15</v>
      </c>
      <c r="L2" s="12">
        <v>0.64100000000000001</v>
      </c>
    </row>
    <row r="3" spans="2:12" x14ac:dyDescent="0.2">
      <c r="B3" s="248" t="s">
        <v>51</v>
      </c>
      <c r="C3" s="247"/>
      <c r="D3" s="247"/>
      <c r="E3" s="11">
        <v>2541000</v>
      </c>
      <c r="F3" s="11">
        <v>1627775.85</v>
      </c>
      <c r="G3" s="11">
        <v>913224.15</v>
      </c>
      <c r="H3" s="11">
        <v>0</v>
      </c>
      <c r="I3" s="11">
        <v>1627775.85</v>
      </c>
      <c r="J3" s="11">
        <v>0</v>
      </c>
      <c r="K3" s="11">
        <v>913224.15</v>
      </c>
      <c r="L3" s="12">
        <v>0.64100000000000001</v>
      </c>
    </row>
    <row r="4" spans="2:12" x14ac:dyDescent="0.2">
      <c r="B4" s="249" t="s">
        <v>52</v>
      </c>
      <c r="C4" s="247"/>
      <c r="D4" s="247"/>
      <c r="E4" s="14">
        <v>2541000</v>
      </c>
      <c r="F4" s="14">
        <v>1627775.85</v>
      </c>
      <c r="G4" s="14">
        <v>913224.15</v>
      </c>
      <c r="H4" s="14">
        <v>0</v>
      </c>
      <c r="I4" s="14">
        <v>1627775.85</v>
      </c>
      <c r="J4" s="14">
        <v>0</v>
      </c>
      <c r="K4" s="14">
        <v>913224.15</v>
      </c>
      <c r="L4" s="15">
        <v>0.64100000000000001</v>
      </c>
    </row>
    <row r="5" spans="2:12" x14ac:dyDescent="0.2">
      <c r="B5" s="246" t="s">
        <v>125</v>
      </c>
      <c r="C5" s="247"/>
      <c r="D5" s="247"/>
      <c r="E5" s="8">
        <v>18300</v>
      </c>
      <c r="F5" s="8">
        <v>14166.58</v>
      </c>
      <c r="G5" s="8">
        <v>4133.42</v>
      </c>
      <c r="H5" s="8">
        <v>0</v>
      </c>
      <c r="I5" s="8">
        <v>14166.58</v>
      </c>
      <c r="J5" s="8">
        <v>0</v>
      </c>
      <c r="K5" s="8">
        <v>4133.42</v>
      </c>
      <c r="L5" s="9">
        <v>0.77400000000000002</v>
      </c>
    </row>
    <row r="6" spans="2:12" x14ac:dyDescent="0.2">
      <c r="B6" s="4" t="s">
        <v>280</v>
      </c>
      <c r="C6" s="4" t="s">
        <v>281</v>
      </c>
      <c r="D6" s="4" t="s">
        <v>282</v>
      </c>
      <c r="E6" s="5">
        <v>100</v>
      </c>
      <c r="F6" s="5">
        <v>0</v>
      </c>
      <c r="G6" s="5">
        <v>100</v>
      </c>
      <c r="H6" s="5">
        <v>0</v>
      </c>
      <c r="I6" s="5">
        <v>0</v>
      </c>
      <c r="J6" s="5">
        <v>0</v>
      </c>
      <c r="K6" s="5">
        <v>100</v>
      </c>
      <c r="L6" s="6">
        <v>0</v>
      </c>
    </row>
    <row r="7" spans="2:12" ht="22.5" x14ac:dyDescent="0.2">
      <c r="B7" s="4" t="s">
        <v>283</v>
      </c>
      <c r="C7" s="4" t="s">
        <v>284</v>
      </c>
      <c r="D7" s="4" t="s">
        <v>285</v>
      </c>
      <c r="E7" s="5">
        <v>100</v>
      </c>
      <c r="F7" s="5">
        <v>0</v>
      </c>
      <c r="G7" s="5">
        <v>100</v>
      </c>
      <c r="H7" s="5">
        <v>0</v>
      </c>
      <c r="I7" s="5">
        <v>0</v>
      </c>
      <c r="J7" s="5">
        <v>0</v>
      </c>
      <c r="K7" s="5">
        <v>100</v>
      </c>
      <c r="L7" s="6">
        <v>0</v>
      </c>
    </row>
    <row r="8" spans="2:12" x14ac:dyDescent="0.2">
      <c r="B8" s="4" t="s">
        <v>286</v>
      </c>
      <c r="C8" s="4" t="s">
        <v>287</v>
      </c>
      <c r="D8" s="4" t="s">
        <v>288</v>
      </c>
      <c r="E8" s="5">
        <v>9600</v>
      </c>
      <c r="F8" s="5">
        <v>9576</v>
      </c>
      <c r="G8" s="5">
        <v>24</v>
      </c>
      <c r="H8" s="5">
        <v>0</v>
      </c>
      <c r="I8" s="5">
        <v>9576</v>
      </c>
      <c r="J8" s="5">
        <v>0</v>
      </c>
      <c r="K8" s="5">
        <v>24</v>
      </c>
      <c r="L8" s="6">
        <v>0.998</v>
      </c>
    </row>
    <row r="9" spans="2:12" x14ac:dyDescent="0.2">
      <c r="B9" s="4" t="s">
        <v>289</v>
      </c>
      <c r="C9" s="4" t="s">
        <v>290</v>
      </c>
      <c r="D9" s="4" t="s">
        <v>291</v>
      </c>
      <c r="E9" s="5">
        <v>8500</v>
      </c>
      <c r="F9" s="5">
        <v>4304.74</v>
      </c>
      <c r="G9" s="5">
        <v>4195.26</v>
      </c>
      <c r="H9" s="5">
        <v>0</v>
      </c>
      <c r="I9" s="5">
        <v>4304.74</v>
      </c>
      <c r="J9" s="5">
        <v>0</v>
      </c>
      <c r="K9" s="5">
        <v>4195.26</v>
      </c>
      <c r="L9" s="6">
        <v>0.50600000000000001</v>
      </c>
    </row>
    <row r="10" spans="2:12" x14ac:dyDescent="0.2">
      <c r="B10" s="4" t="s">
        <v>292</v>
      </c>
      <c r="C10" s="4" t="s">
        <v>293</v>
      </c>
      <c r="D10" s="4" t="s">
        <v>294</v>
      </c>
      <c r="E10" s="5">
        <v>0</v>
      </c>
      <c r="F10" s="5">
        <v>285.83999999999997</v>
      </c>
      <c r="G10" s="5">
        <v>-285.83999999999997</v>
      </c>
      <c r="H10" s="5">
        <v>0</v>
      </c>
      <c r="I10" s="5">
        <v>285.83999999999997</v>
      </c>
      <c r="J10" s="5">
        <v>0</v>
      </c>
      <c r="K10" s="5">
        <v>-285.83999999999997</v>
      </c>
      <c r="L10" s="6">
        <v>0</v>
      </c>
    </row>
    <row r="11" spans="2:12" x14ac:dyDescent="0.2">
      <c r="B11" s="246" t="s">
        <v>129</v>
      </c>
      <c r="C11" s="247"/>
      <c r="D11" s="247"/>
      <c r="E11" s="8">
        <v>1077100</v>
      </c>
      <c r="F11" s="8">
        <v>516201.58</v>
      </c>
      <c r="G11" s="8">
        <v>560898.42000000004</v>
      </c>
      <c r="H11" s="8">
        <v>0</v>
      </c>
      <c r="I11" s="8">
        <v>516201.58</v>
      </c>
      <c r="J11" s="8">
        <v>0</v>
      </c>
      <c r="K11" s="8">
        <v>560898.42000000004</v>
      </c>
      <c r="L11" s="9">
        <v>0.47899999999999998</v>
      </c>
    </row>
    <row r="12" spans="2:12" x14ac:dyDescent="0.2">
      <c r="B12" s="4" t="s">
        <v>295</v>
      </c>
      <c r="C12" s="4" t="s">
        <v>296</v>
      </c>
      <c r="D12" s="4" t="s">
        <v>297</v>
      </c>
      <c r="E12" s="5">
        <v>1077100</v>
      </c>
      <c r="F12" s="5">
        <v>516201.58</v>
      </c>
      <c r="G12" s="5">
        <v>560898.42000000004</v>
      </c>
      <c r="H12" s="5">
        <v>0</v>
      </c>
      <c r="I12" s="5">
        <v>516201.58</v>
      </c>
      <c r="J12" s="5">
        <v>0</v>
      </c>
      <c r="K12" s="5">
        <v>560898.42000000004</v>
      </c>
      <c r="L12" s="6">
        <v>0.47899999999999998</v>
      </c>
    </row>
    <row r="13" spans="2:12" x14ac:dyDescent="0.2">
      <c r="B13" s="4" t="s">
        <v>298</v>
      </c>
      <c r="C13" s="4" t="s">
        <v>299</v>
      </c>
      <c r="D13" s="4" t="s">
        <v>300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6">
        <v>0</v>
      </c>
    </row>
    <row r="14" spans="2:12" x14ac:dyDescent="0.2">
      <c r="B14" s="246" t="s">
        <v>26</v>
      </c>
      <c r="C14" s="247"/>
      <c r="D14" s="247"/>
      <c r="E14" s="8">
        <v>1311600</v>
      </c>
      <c r="F14" s="8">
        <v>1096914.25</v>
      </c>
      <c r="G14" s="8">
        <v>214685.75</v>
      </c>
      <c r="H14" s="8">
        <v>0</v>
      </c>
      <c r="I14" s="8">
        <v>1096914.25</v>
      </c>
      <c r="J14" s="8">
        <v>0</v>
      </c>
      <c r="K14" s="8">
        <v>214685.75</v>
      </c>
      <c r="L14" s="9">
        <v>0.83599999999999997</v>
      </c>
    </row>
    <row r="15" spans="2:12" ht="22.5" x14ac:dyDescent="0.2">
      <c r="B15" s="4" t="s">
        <v>301</v>
      </c>
      <c r="C15" s="4" t="s">
        <v>302</v>
      </c>
      <c r="D15" s="4" t="s">
        <v>303</v>
      </c>
      <c r="E15" s="5">
        <v>763100</v>
      </c>
      <c r="F15" s="5">
        <v>498838.48</v>
      </c>
      <c r="G15" s="5">
        <v>264261.52</v>
      </c>
      <c r="H15" s="5">
        <v>0</v>
      </c>
      <c r="I15" s="5">
        <v>498838.48</v>
      </c>
      <c r="J15" s="5">
        <v>0</v>
      </c>
      <c r="K15" s="5">
        <v>264261.52</v>
      </c>
      <c r="L15" s="6">
        <v>0.65400000000000003</v>
      </c>
    </row>
    <row r="16" spans="2:12" ht="22.5" x14ac:dyDescent="0.2">
      <c r="B16" s="4" t="s">
        <v>304</v>
      </c>
      <c r="C16" s="4" t="s">
        <v>305</v>
      </c>
      <c r="D16" s="4" t="s">
        <v>306</v>
      </c>
      <c r="E16" s="5">
        <v>548500</v>
      </c>
      <c r="F16" s="5">
        <v>598075.77</v>
      </c>
      <c r="G16" s="5">
        <v>-49575.77</v>
      </c>
      <c r="H16" s="5">
        <v>0</v>
      </c>
      <c r="I16" s="5">
        <v>598075.77</v>
      </c>
      <c r="J16" s="5">
        <v>0</v>
      </c>
      <c r="K16" s="5">
        <v>-49575.77</v>
      </c>
      <c r="L16" s="6">
        <v>1.0900000000000001</v>
      </c>
    </row>
    <row r="17" spans="2:12" x14ac:dyDescent="0.2">
      <c r="B17" s="246" t="s">
        <v>34</v>
      </c>
      <c r="C17" s="247"/>
      <c r="D17" s="247"/>
      <c r="E17" s="8">
        <v>4700</v>
      </c>
      <c r="F17" s="8">
        <v>0</v>
      </c>
      <c r="G17" s="8">
        <v>4700</v>
      </c>
      <c r="H17" s="8">
        <v>0</v>
      </c>
      <c r="I17" s="8">
        <v>0</v>
      </c>
      <c r="J17" s="8">
        <v>0</v>
      </c>
      <c r="K17" s="8">
        <v>4700</v>
      </c>
      <c r="L17" s="9">
        <v>0</v>
      </c>
    </row>
    <row r="18" spans="2:12" x14ac:dyDescent="0.2">
      <c r="B18" s="4" t="s">
        <v>307</v>
      </c>
      <c r="C18" s="4" t="s">
        <v>308</v>
      </c>
      <c r="D18" s="4" t="s">
        <v>309</v>
      </c>
      <c r="E18" s="5">
        <v>1200</v>
      </c>
      <c r="F18" s="5">
        <v>0</v>
      </c>
      <c r="G18" s="5">
        <v>1200</v>
      </c>
      <c r="H18" s="5">
        <v>0</v>
      </c>
      <c r="I18" s="5">
        <v>0</v>
      </c>
      <c r="J18" s="5">
        <v>0</v>
      </c>
      <c r="K18" s="5">
        <v>1200</v>
      </c>
      <c r="L18" s="6">
        <v>0</v>
      </c>
    </row>
    <row r="19" spans="2:12" x14ac:dyDescent="0.2">
      <c r="B19" s="4" t="s">
        <v>310</v>
      </c>
      <c r="C19" s="4" t="s">
        <v>311</v>
      </c>
      <c r="D19" s="4" t="s">
        <v>312</v>
      </c>
      <c r="E19" s="5">
        <v>1500</v>
      </c>
      <c r="F19" s="5">
        <v>0</v>
      </c>
      <c r="G19" s="5">
        <v>1500</v>
      </c>
      <c r="H19" s="5">
        <v>0</v>
      </c>
      <c r="I19" s="5">
        <v>0</v>
      </c>
      <c r="J19" s="5">
        <v>0</v>
      </c>
      <c r="K19" s="5">
        <v>1500</v>
      </c>
      <c r="L19" s="6">
        <v>0</v>
      </c>
    </row>
    <row r="20" spans="2:12" x14ac:dyDescent="0.2">
      <c r="B20" s="4" t="s">
        <v>298</v>
      </c>
      <c r="C20" s="4" t="s">
        <v>313</v>
      </c>
      <c r="D20" s="4" t="s">
        <v>300</v>
      </c>
      <c r="E20" s="5">
        <v>2000</v>
      </c>
      <c r="F20" s="5">
        <v>0</v>
      </c>
      <c r="G20" s="5">
        <v>2000</v>
      </c>
      <c r="H20" s="5">
        <v>0</v>
      </c>
      <c r="I20" s="5">
        <v>0</v>
      </c>
      <c r="J20" s="5">
        <v>0</v>
      </c>
      <c r="K20" s="5">
        <v>2000</v>
      </c>
      <c r="L20" s="6">
        <v>0</v>
      </c>
    </row>
    <row r="21" spans="2:12" x14ac:dyDescent="0.2">
      <c r="B21" s="246" t="s">
        <v>201</v>
      </c>
      <c r="C21" s="247"/>
      <c r="D21" s="247"/>
      <c r="E21" s="8">
        <v>28000</v>
      </c>
      <c r="F21" s="8">
        <v>344.44</v>
      </c>
      <c r="G21" s="8">
        <v>27655.56</v>
      </c>
      <c r="H21" s="8">
        <v>0</v>
      </c>
      <c r="I21" s="8">
        <v>344.44</v>
      </c>
      <c r="J21" s="8">
        <v>0</v>
      </c>
      <c r="K21" s="8">
        <v>27655.56</v>
      </c>
      <c r="L21" s="9">
        <v>1.2E-2</v>
      </c>
    </row>
    <row r="22" spans="2:12" x14ac:dyDescent="0.2">
      <c r="B22" s="4" t="s">
        <v>314</v>
      </c>
      <c r="C22" s="4" t="s">
        <v>315</v>
      </c>
      <c r="D22" s="4" t="s">
        <v>316</v>
      </c>
      <c r="E22" s="5">
        <v>0</v>
      </c>
      <c r="F22" s="5">
        <v>344.44</v>
      </c>
      <c r="G22" s="5">
        <v>-344.44</v>
      </c>
      <c r="H22" s="5">
        <v>0</v>
      </c>
      <c r="I22" s="5">
        <v>344.44</v>
      </c>
      <c r="J22" s="5">
        <v>0</v>
      </c>
      <c r="K22" s="5">
        <v>-344.44</v>
      </c>
      <c r="L22" s="6">
        <v>0</v>
      </c>
    </row>
    <row r="23" spans="2:12" x14ac:dyDescent="0.2">
      <c r="B23" s="4" t="s">
        <v>298</v>
      </c>
      <c r="C23" s="4" t="s">
        <v>317</v>
      </c>
      <c r="D23" s="4" t="s">
        <v>300</v>
      </c>
      <c r="E23" s="5">
        <v>28000</v>
      </c>
      <c r="F23" s="5">
        <v>0</v>
      </c>
      <c r="G23" s="5">
        <v>28000</v>
      </c>
      <c r="H23" s="5">
        <v>0</v>
      </c>
      <c r="I23" s="5">
        <v>0</v>
      </c>
      <c r="J23" s="5">
        <v>0</v>
      </c>
      <c r="K23" s="5">
        <v>28000</v>
      </c>
      <c r="L23" s="6">
        <v>0</v>
      </c>
    </row>
    <row r="24" spans="2:12" x14ac:dyDescent="0.2">
      <c r="B24" s="246" t="s">
        <v>37</v>
      </c>
      <c r="C24" s="247"/>
      <c r="D24" s="247"/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</row>
    <row r="25" spans="2:12" x14ac:dyDescent="0.2">
      <c r="B25" s="4" t="s">
        <v>318</v>
      </c>
      <c r="C25" s="4" t="s">
        <v>319</v>
      </c>
      <c r="D25" s="4" t="s">
        <v>320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6">
        <v>0</v>
      </c>
    </row>
    <row r="26" spans="2:12" x14ac:dyDescent="0.2">
      <c r="B26" s="246" t="s">
        <v>45</v>
      </c>
      <c r="C26" s="247"/>
      <c r="D26" s="247"/>
      <c r="E26" s="8">
        <v>100000</v>
      </c>
      <c r="F26" s="8">
        <v>149</v>
      </c>
      <c r="G26" s="8">
        <v>99851</v>
      </c>
      <c r="H26" s="8">
        <v>0</v>
      </c>
      <c r="I26" s="8">
        <v>149</v>
      </c>
      <c r="J26" s="8">
        <v>0</v>
      </c>
      <c r="K26" s="8">
        <v>99851</v>
      </c>
      <c r="L26" s="9">
        <v>2E-3</v>
      </c>
    </row>
    <row r="27" spans="2:12" x14ac:dyDescent="0.2">
      <c r="B27" s="4" t="s">
        <v>321</v>
      </c>
      <c r="C27" s="4" t="s">
        <v>322</v>
      </c>
      <c r="D27" s="4" t="s">
        <v>323</v>
      </c>
      <c r="E27" s="5">
        <v>100000</v>
      </c>
      <c r="F27" s="5">
        <v>149</v>
      </c>
      <c r="G27" s="5">
        <v>99851</v>
      </c>
      <c r="H27" s="5">
        <v>0</v>
      </c>
      <c r="I27" s="5">
        <v>149</v>
      </c>
      <c r="J27" s="5">
        <v>0</v>
      </c>
      <c r="K27" s="5">
        <v>99851</v>
      </c>
      <c r="L27" s="6">
        <v>2E-3</v>
      </c>
    </row>
    <row r="28" spans="2:12" x14ac:dyDescent="0.2">
      <c r="B28" s="246" t="s">
        <v>48</v>
      </c>
      <c r="C28" s="247"/>
      <c r="D28" s="247"/>
      <c r="E28" s="8">
        <v>1300</v>
      </c>
      <c r="F28" s="8">
        <v>0</v>
      </c>
      <c r="G28" s="8">
        <v>1300</v>
      </c>
      <c r="H28" s="8">
        <v>0</v>
      </c>
      <c r="I28" s="8">
        <v>0</v>
      </c>
      <c r="J28" s="8">
        <v>0</v>
      </c>
      <c r="K28" s="8">
        <v>1300</v>
      </c>
      <c r="L28" s="9">
        <v>0</v>
      </c>
    </row>
    <row r="29" spans="2:12" x14ac:dyDescent="0.2">
      <c r="B29" s="4" t="s">
        <v>324</v>
      </c>
      <c r="C29" s="4" t="s">
        <v>325</v>
      </c>
      <c r="D29" s="4" t="s">
        <v>326</v>
      </c>
      <c r="E29" s="5">
        <v>1300</v>
      </c>
      <c r="F29" s="5">
        <v>0</v>
      </c>
      <c r="G29" s="5">
        <v>1300</v>
      </c>
      <c r="H29" s="5">
        <v>0</v>
      </c>
      <c r="I29" s="5">
        <v>0</v>
      </c>
      <c r="J29" s="5">
        <v>0</v>
      </c>
      <c r="K29" s="5">
        <v>1300</v>
      </c>
      <c r="L29" s="6">
        <v>0</v>
      </c>
    </row>
    <row r="30" spans="2:12" ht="409.6" hidden="1" customHeight="1" x14ac:dyDescent="0.2"/>
  </sheetData>
  <mergeCells count="11">
    <mergeCell ref="B28:D28"/>
    <mergeCell ref="B2:D2"/>
    <mergeCell ref="B3:D3"/>
    <mergeCell ref="B4:D4"/>
    <mergeCell ref="B5:D5"/>
    <mergeCell ref="B11:D11"/>
    <mergeCell ref="B14:D14"/>
    <mergeCell ref="B17:D17"/>
    <mergeCell ref="B21:D21"/>
    <mergeCell ref="B24:D24"/>
    <mergeCell ref="B26:D26"/>
  </mergeCells>
  <phoneticPr fontId="0" type="noConversion"/>
  <pageMargins left="0" right="0" top="0" bottom="0.39375000000000004" header="0" footer="0"/>
  <pageSetup paperSize="9" orientation="landscape" horizontalDpi="0" verticalDpi="0"/>
  <headerFooter alignWithMargins="0">
    <oddFooter xml:space="preserve">&amp;L&amp;"Arial"&amp;8 Lista: LCW147TREW &amp;C&amp;"Arial"&amp;8 Stranica 
&amp;B&amp;P&amp;B &amp;R&amp;"Arial"&amp;8 * OBRADA LC *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5"/>
  <sheetViews>
    <sheetView workbookViewId="0">
      <selection activeCell="E4" sqref="E4"/>
    </sheetView>
  </sheetViews>
  <sheetFormatPr defaultColWidth="8.7109375" defaultRowHeight="20.100000000000001" customHeight="1" x14ac:dyDescent="0.2"/>
  <cols>
    <col min="1" max="1" width="12.5703125" style="25" customWidth="1"/>
    <col min="2" max="2" width="12.5703125" style="25" hidden="1" customWidth="1"/>
    <col min="3" max="3" width="13.5703125" style="31" hidden="1" customWidth="1"/>
    <col min="4" max="5" width="13.5703125" style="31" customWidth="1"/>
    <col min="6" max="16384" width="8.7109375" style="25"/>
  </cols>
  <sheetData>
    <row r="3" spans="1:5" ht="20.100000000000001" customHeight="1" x14ac:dyDescent="0.2">
      <c r="D3" s="31">
        <v>-1346805.9</v>
      </c>
      <c r="E3" s="31">
        <f>D3-D4</f>
        <v>-88465.830000000075</v>
      </c>
    </row>
    <row r="4" spans="1:5" ht="39.950000000000003" customHeight="1" x14ac:dyDescent="0.2">
      <c r="C4" s="31">
        <f>SUM(C5:C14)</f>
        <v>1258340.0699999998</v>
      </c>
      <c r="D4" s="31">
        <f>SUM(D5:D14)</f>
        <v>-1258340.0699999998</v>
      </c>
    </row>
    <row r="5" spans="1:5" ht="20.100000000000001" customHeight="1" x14ac:dyDescent="0.2">
      <c r="A5" s="25" t="str">
        <f>LEFT(B5,4)</f>
        <v>3111</v>
      </c>
      <c r="B5" s="25">
        <v>311110</v>
      </c>
      <c r="C5" s="31">
        <v>1179731.77</v>
      </c>
      <c r="D5" s="31">
        <f>C5*-1</f>
        <v>-1179731.77</v>
      </c>
    </row>
    <row r="6" spans="1:5" ht="20.100000000000001" customHeight="1" x14ac:dyDescent="0.2">
      <c r="A6" s="25" t="str">
        <f t="shared" ref="A6:A14" si="0">LEFT(B6,4)</f>
        <v>3121</v>
      </c>
      <c r="B6" s="25">
        <v>312110</v>
      </c>
      <c r="C6" s="31">
        <v>85169.88</v>
      </c>
      <c r="D6" s="31">
        <f t="shared" ref="D6:D14" si="1">C6*-1</f>
        <v>-85169.88</v>
      </c>
    </row>
    <row r="7" spans="1:5" ht="20.100000000000001" customHeight="1" x14ac:dyDescent="0.2">
      <c r="A7" s="25" t="str">
        <f t="shared" si="0"/>
        <v>3132</v>
      </c>
      <c r="B7" s="25">
        <v>313210</v>
      </c>
      <c r="C7" s="31">
        <v>188401.59</v>
      </c>
      <c r="D7" s="31">
        <f t="shared" si="1"/>
        <v>-188401.59</v>
      </c>
    </row>
    <row r="8" spans="1:5" ht="20.100000000000001" customHeight="1" x14ac:dyDescent="0.2">
      <c r="A8" s="25" t="str">
        <f t="shared" si="0"/>
        <v>3213</v>
      </c>
      <c r="B8" s="25">
        <v>321310</v>
      </c>
      <c r="C8" s="31">
        <v>-870.32</v>
      </c>
      <c r="D8" s="31">
        <f t="shared" si="1"/>
        <v>870.32</v>
      </c>
    </row>
    <row r="9" spans="1:5" ht="20.100000000000001" customHeight="1" x14ac:dyDescent="0.2">
      <c r="A9" s="25" t="str">
        <f t="shared" si="0"/>
        <v>3221</v>
      </c>
      <c r="B9" s="25">
        <v>322110</v>
      </c>
      <c r="C9" s="31">
        <v>-40.75</v>
      </c>
      <c r="D9" s="31">
        <f t="shared" si="1"/>
        <v>40.75</v>
      </c>
    </row>
    <row r="10" spans="1:5" ht="20.100000000000001" customHeight="1" x14ac:dyDescent="0.2">
      <c r="A10" s="25" t="str">
        <f t="shared" si="0"/>
        <v>3235</v>
      </c>
      <c r="B10" s="25">
        <v>323510</v>
      </c>
      <c r="C10" s="31">
        <v>60935.17</v>
      </c>
      <c r="D10" s="31">
        <f t="shared" si="1"/>
        <v>-60935.17</v>
      </c>
    </row>
    <row r="11" spans="1:5" ht="20.100000000000001" customHeight="1" x14ac:dyDescent="0.2">
      <c r="A11" s="25" t="str">
        <f t="shared" si="0"/>
        <v>3291</v>
      </c>
      <c r="B11" s="25">
        <v>329110</v>
      </c>
      <c r="C11" s="31">
        <v>-570.78</v>
      </c>
      <c r="D11" s="31">
        <f t="shared" si="1"/>
        <v>570.78</v>
      </c>
    </row>
    <row r="12" spans="1:5" ht="20.100000000000001" customHeight="1" x14ac:dyDescent="0.2">
      <c r="A12" s="25" t="str">
        <f t="shared" si="0"/>
        <v>3722</v>
      </c>
      <c r="B12" s="25">
        <v>372210</v>
      </c>
      <c r="C12" s="31">
        <v>-149401</v>
      </c>
      <c r="D12" s="31">
        <f t="shared" si="1"/>
        <v>149401</v>
      </c>
    </row>
    <row r="13" spans="1:5" ht="20.100000000000001" customHeight="1" x14ac:dyDescent="0.2">
      <c r="A13" s="25" t="str">
        <f t="shared" si="0"/>
        <v>3212</v>
      </c>
      <c r="B13" s="25">
        <v>321210</v>
      </c>
      <c r="C13" s="31">
        <v>3372.23</v>
      </c>
      <c r="D13" s="31">
        <f t="shared" si="1"/>
        <v>-3372.23</v>
      </c>
    </row>
    <row r="14" spans="1:5" ht="20.100000000000001" customHeight="1" x14ac:dyDescent="0.2">
      <c r="A14" s="25" t="str">
        <f t="shared" si="0"/>
        <v>4241</v>
      </c>
      <c r="B14" s="25">
        <v>424110</v>
      </c>
      <c r="C14" s="31">
        <v>-108387.72</v>
      </c>
      <c r="D14" s="31">
        <f t="shared" si="1"/>
        <v>108387.72</v>
      </c>
    </row>
    <row r="16" spans="1:5" ht="20.100000000000001" customHeight="1" x14ac:dyDescent="0.2">
      <c r="A16" s="25" t="s">
        <v>57</v>
      </c>
    </row>
    <row r="17" spans="1:1" ht="20.100000000000001" customHeight="1" x14ac:dyDescent="0.2">
      <c r="A17" s="25" t="s">
        <v>60</v>
      </c>
    </row>
    <row r="18" spans="1:1" ht="20.100000000000001" customHeight="1" x14ac:dyDescent="0.2">
      <c r="A18" s="25" t="s">
        <v>63</v>
      </c>
    </row>
    <row r="19" spans="1:1" ht="20.100000000000001" customHeight="1" x14ac:dyDescent="0.2">
      <c r="A19" s="25" t="s">
        <v>69</v>
      </c>
    </row>
    <row r="20" spans="1:1" ht="20.100000000000001" customHeight="1" x14ac:dyDescent="0.2">
      <c r="A20" s="25" t="s">
        <v>72</v>
      </c>
    </row>
    <row r="21" spans="1:1" ht="20.100000000000001" customHeight="1" x14ac:dyDescent="0.2">
      <c r="A21" s="25" t="s">
        <v>97</v>
      </c>
    </row>
    <row r="22" spans="1:1" ht="20.100000000000001" customHeight="1" x14ac:dyDescent="0.2">
      <c r="A22" s="25" t="s">
        <v>107</v>
      </c>
    </row>
    <row r="23" spans="1:1" ht="20.100000000000001" customHeight="1" x14ac:dyDescent="0.2">
      <c r="A23" s="25" t="s">
        <v>260</v>
      </c>
    </row>
    <row r="24" spans="1:1" ht="20.100000000000001" customHeight="1" x14ac:dyDescent="0.2">
      <c r="A24" s="25" t="s">
        <v>66</v>
      </c>
    </row>
    <row r="25" spans="1:1" ht="20.100000000000001" customHeight="1" x14ac:dyDescent="0.2">
      <c r="A25" s="25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zoomScale="90" zoomScaleNormal="90" workbookViewId="0">
      <pane ySplit="4" topLeftCell="A5" activePane="bottomLeft" state="frozen"/>
      <selection activeCell="F1" sqref="F1"/>
      <selection pane="bottomLeft" activeCell="H29" sqref="H29:I29"/>
    </sheetView>
  </sheetViews>
  <sheetFormatPr defaultColWidth="8.7109375" defaultRowHeight="12.75" x14ac:dyDescent="0.2"/>
  <cols>
    <col min="1" max="1" width="10.5703125" style="25" customWidth="1"/>
    <col min="2" max="2" width="45.7109375" style="25" customWidth="1"/>
    <col min="3" max="5" width="13.5703125" style="25" customWidth="1"/>
    <col min="6" max="7" width="10.5703125" style="90" customWidth="1"/>
    <col min="8" max="14" width="8.7109375" style="25" customWidth="1"/>
    <col min="15" max="16384" width="8.7109375" style="25"/>
  </cols>
  <sheetData>
    <row r="1" spans="1:7" ht="20.100000000000001" customHeight="1" x14ac:dyDescent="0.2">
      <c r="A1" s="217"/>
      <c r="B1" s="217"/>
      <c r="C1" s="217"/>
      <c r="D1" s="217"/>
    </row>
    <row r="2" spans="1:7" ht="39.950000000000003" customHeight="1" x14ac:dyDescent="0.2">
      <c r="A2" s="223" t="s">
        <v>579</v>
      </c>
      <c r="B2" s="223"/>
      <c r="C2" s="223"/>
      <c r="D2" s="223"/>
      <c r="E2" s="223"/>
      <c r="F2" s="223"/>
      <c r="G2" s="223"/>
    </row>
    <row r="3" spans="1:7" ht="20.100000000000001" customHeight="1" thickBot="1" x14ac:dyDescent="0.25">
      <c r="E3" s="83"/>
      <c r="F3" s="91"/>
      <c r="G3" s="91"/>
    </row>
    <row r="4" spans="1:7" ht="35.1" customHeight="1" thickBot="1" x14ac:dyDescent="0.25">
      <c r="A4" s="80" t="s">
        <v>502</v>
      </c>
      <c r="B4" s="80" t="s">
        <v>503</v>
      </c>
      <c r="C4" s="80" t="s">
        <v>571</v>
      </c>
      <c r="D4" s="80" t="s">
        <v>572</v>
      </c>
      <c r="E4" s="80" t="s">
        <v>580</v>
      </c>
      <c r="F4" s="92" t="s">
        <v>573</v>
      </c>
      <c r="G4" s="92" t="s">
        <v>574</v>
      </c>
    </row>
    <row r="5" spans="1:7" ht="18" customHeight="1" thickBot="1" x14ac:dyDescent="0.25">
      <c r="A5" s="81">
        <v>1</v>
      </c>
      <c r="B5" s="81">
        <v>2</v>
      </c>
      <c r="C5" s="81">
        <v>3</v>
      </c>
      <c r="D5" s="81">
        <v>4</v>
      </c>
      <c r="E5" s="81">
        <v>5</v>
      </c>
      <c r="F5" s="81">
        <v>6</v>
      </c>
      <c r="G5" s="81">
        <v>7</v>
      </c>
    </row>
    <row r="6" spans="1:7" ht="35.1" customHeight="1" collapsed="1" thickBot="1" x14ac:dyDescent="0.25">
      <c r="A6" s="224" t="s">
        <v>468</v>
      </c>
      <c r="B6" s="224"/>
      <c r="C6" s="119">
        <v>11509928.459999999</v>
      </c>
      <c r="D6" s="119">
        <v>25543600</v>
      </c>
      <c r="E6" s="119">
        <v>12779679.130000003</v>
      </c>
      <c r="F6" s="119">
        <v>111.03</v>
      </c>
      <c r="G6" s="119">
        <v>50.03</v>
      </c>
    </row>
    <row r="7" spans="1:7" ht="24.95" customHeight="1" x14ac:dyDescent="0.2">
      <c r="A7" s="121">
        <v>6</v>
      </c>
      <c r="B7" s="122" t="s">
        <v>500</v>
      </c>
      <c r="C7" s="123">
        <v>11509928.459999999</v>
      </c>
      <c r="D7" s="123">
        <v>25542300</v>
      </c>
      <c r="E7" s="123">
        <v>12779679.130000003</v>
      </c>
      <c r="F7" s="123">
        <v>111.03</v>
      </c>
      <c r="G7" s="123">
        <v>50.03</v>
      </c>
    </row>
    <row r="8" spans="1:7" ht="24.95" customHeight="1" x14ac:dyDescent="0.2">
      <c r="A8" s="124">
        <v>7</v>
      </c>
      <c r="B8" s="125" t="s">
        <v>512</v>
      </c>
      <c r="C8" s="126">
        <v>0</v>
      </c>
      <c r="D8" s="126">
        <v>1300</v>
      </c>
      <c r="E8" s="126">
        <v>0</v>
      </c>
      <c r="F8" s="126">
        <v>0</v>
      </c>
      <c r="G8" s="126">
        <v>0</v>
      </c>
    </row>
    <row r="9" spans="1:7" ht="24.95" customHeight="1" thickBot="1" x14ac:dyDescent="0.25">
      <c r="A9" s="127">
        <v>9</v>
      </c>
      <c r="B9" s="128" t="s">
        <v>501</v>
      </c>
      <c r="C9" s="129">
        <v>0</v>
      </c>
      <c r="D9" s="129">
        <v>0</v>
      </c>
      <c r="E9" s="129">
        <v>0</v>
      </c>
      <c r="F9" s="129">
        <v>0</v>
      </c>
      <c r="G9" s="129">
        <v>0</v>
      </c>
    </row>
    <row r="10" spans="1:7" ht="35.1" customHeight="1" thickBot="1" x14ac:dyDescent="0.25">
      <c r="A10" s="224" t="s">
        <v>463</v>
      </c>
      <c r="B10" s="224"/>
      <c r="C10" s="119">
        <v>11246298.220000012</v>
      </c>
      <c r="D10" s="119">
        <v>25543600</v>
      </c>
      <c r="E10" s="119">
        <v>12443169.619999997</v>
      </c>
      <c r="F10" s="119">
        <v>110.64235872628304</v>
      </c>
      <c r="G10" s="119">
        <v>48.713453154606228</v>
      </c>
    </row>
    <row r="11" spans="1:7" ht="24.95" customHeight="1" x14ac:dyDescent="0.2">
      <c r="A11" s="118">
        <v>3</v>
      </c>
      <c r="B11" s="112" t="s">
        <v>504</v>
      </c>
      <c r="C11" s="115">
        <v>10250732.920000011</v>
      </c>
      <c r="D11" s="115">
        <v>22326500</v>
      </c>
      <c r="E11" s="115">
        <v>11142822.149999997</v>
      </c>
      <c r="F11" s="117">
        <v>108.7</v>
      </c>
      <c r="G11" s="117">
        <v>49.91</v>
      </c>
    </row>
    <row r="12" spans="1:7" ht="24.95" customHeight="1" thickBot="1" x14ac:dyDescent="0.25">
      <c r="A12" s="118">
        <v>4</v>
      </c>
      <c r="B12" s="112" t="s">
        <v>505</v>
      </c>
      <c r="C12" s="115">
        <v>995565.30000000028</v>
      </c>
      <c r="D12" s="115">
        <v>3217100</v>
      </c>
      <c r="E12" s="115">
        <v>1300347.4699999997</v>
      </c>
      <c r="F12" s="117">
        <v>130.61000000000001</v>
      </c>
      <c r="G12" s="117">
        <v>40.42</v>
      </c>
    </row>
    <row r="13" spans="1:7" ht="35.1" customHeight="1" thickBot="1" x14ac:dyDescent="0.25">
      <c r="A13" s="224"/>
      <c r="B13" s="224"/>
      <c r="C13" s="119"/>
      <c r="D13" s="119"/>
      <c r="E13" s="119"/>
      <c r="F13" s="119"/>
      <c r="G13" s="119"/>
    </row>
    <row r="15" spans="1:7" x14ac:dyDescent="0.2">
      <c r="C15" s="32"/>
      <c r="E15" s="32"/>
    </row>
    <row r="16" spans="1:7" x14ac:dyDescent="0.2">
      <c r="E16" s="32"/>
    </row>
  </sheetData>
  <mergeCells count="5">
    <mergeCell ref="A1:D1"/>
    <mergeCell ref="A2:G2"/>
    <mergeCell ref="A6:B6"/>
    <mergeCell ref="A10:B10"/>
    <mergeCell ref="A13:B13"/>
  </mergeCells>
  <pageMargins left="0.39370078740157483" right="0.39370078740157483" top="0.59055118110236227" bottom="0.59055118110236227" header="0" footer="0"/>
  <pageSetup paperSize="9" scale="82" orientation="portrait" r:id="rId1"/>
  <headerFooter alignWithMargins="0">
    <oddHeader>&amp;L&amp;"Arial,Bold"&amp;K04-023KNJIŽNICE GRADA ZAGREBA
STARČEVIĆEV TRG 6
OIB: 93571946376</oddHeader>
    <oddFooter xml:space="preserve">&amp;C&amp;8 Stranica 
&amp;"Arial,Bold"&amp;P&amp;"Arial,Regular"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zoomScale="90" zoomScaleNormal="90" workbookViewId="0">
      <pane ySplit="4" topLeftCell="A5" activePane="bottomLeft" state="frozen"/>
      <selection activeCell="F1" sqref="F1"/>
      <selection pane="bottomLeft" sqref="A1:G68"/>
    </sheetView>
  </sheetViews>
  <sheetFormatPr defaultColWidth="8.7109375" defaultRowHeight="12.75" x14ac:dyDescent="0.2"/>
  <cols>
    <col min="1" max="1" width="10.5703125" style="25" customWidth="1"/>
    <col min="2" max="2" width="45.7109375" style="25" customWidth="1"/>
    <col min="3" max="5" width="13.5703125" style="25" customWidth="1"/>
    <col min="6" max="7" width="10.5703125" style="90" customWidth="1"/>
    <col min="8" max="8" width="8.7109375" style="25" customWidth="1"/>
    <col min="9" max="9" width="13.5703125" style="25" hidden="1" customWidth="1"/>
    <col min="10" max="16384" width="8.7109375" style="25"/>
  </cols>
  <sheetData>
    <row r="1" spans="1:9" ht="20.100000000000001" customHeight="1" x14ac:dyDescent="0.2">
      <c r="A1" s="217"/>
      <c r="B1" s="217"/>
      <c r="C1" s="217"/>
      <c r="D1" s="217"/>
    </row>
    <row r="2" spans="1:9" ht="39.950000000000003" customHeight="1" x14ac:dyDescent="0.2">
      <c r="A2" s="223" t="s">
        <v>578</v>
      </c>
      <c r="B2" s="223"/>
      <c r="C2" s="223"/>
      <c r="D2" s="223"/>
      <c r="E2" s="223"/>
      <c r="F2" s="223"/>
      <c r="G2" s="223"/>
    </row>
    <row r="3" spans="1:9" ht="20.100000000000001" customHeight="1" thickBot="1" x14ac:dyDescent="0.25">
      <c r="E3" s="83"/>
      <c r="F3" s="91"/>
      <c r="G3" s="91"/>
      <c r="I3" s="83"/>
    </row>
    <row r="4" spans="1:9" ht="35.1" customHeight="1" thickBot="1" x14ac:dyDescent="0.25">
      <c r="A4" s="80" t="s">
        <v>498</v>
      </c>
      <c r="B4" s="80" t="s">
        <v>499</v>
      </c>
      <c r="C4" s="80" t="s">
        <v>571</v>
      </c>
      <c r="D4" s="80" t="s">
        <v>572</v>
      </c>
      <c r="E4" s="80" t="s">
        <v>580</v>
      </c>
      <c r="F4" s="92" t="s">
        <v>573</v>
      </c>
      <c r="G4" s="92" t="s">
        <v>574</v>
      </c>
      <c r="I4" s="80" t="s">
        <v>559</v>
      </c>
    </row>
    <row r="5" spans="1:9" ht="18" customHeight="1" thickBot="1" x14ac:dyDescent="0.25">
      <c r="A5" s="81">
        <v>1</v>
      </c>
      <c r="B5" s="81">
        <v>2</v>
      </c>
      <c r="C5" s="81">
        <v>3</v>
      </c>
      <c r="D5" s="81">
        <v>4</v>
      </c>
      <c r="E5" s="81">
        <v>5</v>
      </c>
      <c r="F5" s="81">
        <v>6</v>
      </c>
      <c r="G5" s="81">
        <v>7</v>
      </c>
      <c r="I5" s="81">
        <v>8</v>
      </c>
    </row>
    <row r="6" spans="1:9" ht="35.1" customHeight="1" collapsed="1" thickBot="1" x14ac:dyDescent="0.25">
      <c r="A6" s="225" t="s">
        <v>468</v>
      </c>
      <c r="B6" s="225"/>
      <c r="C6" s="82">
        <v>11509928.459999999</v>
      </c>
      <c r="D6" s="82">
        <v>25543600</v>
      </c>
      <c r="E6" s="82">
        <v>12779679.130000001</v>
      </c>
      <c r="F6" s="82">
        <v>111.03</v>
      </c>
      <c r="G6" s="82">
        <v>50.03</v>
      </c>
      <c r="I6" s="82">
        <f t="shared" ref="I6" si="0">SUM(I7:I25)</f>
        <v>0</v>
      </c>
    </row>
    <row r="7" spans="1:9" ht="20.100000000000001" customHeight="1" thickBot="1" x14ac:dyDescent="0.25">
      <c r="A7" s="214" t="s">
        <v>582</v>
      </c>
      <c r="B7" s="110" t="s">
        <v>309</v>
      </c>
      <c r="C7" s="111">
        <v>0</v>
      </c>
      <c r="D7" s="111">
        <v>0</v>
      </c>
      <c r="E7" s="111">
        <v>0</v>
      </c>
      <c r="F7" s="111">
        <v>0</v>
      </c>
      <c r="G7" s="111">
        <v>0</v>
      </c>
      <c r="I7" s="111">
        <f>SUMIFS(Posebni_Dio!P$6:P$267,Posebni_Dio!$B$6:$B$267,"PRI",Posebni_Dio!$H$6:$H$267,'Po kontima'!$A7)</f>
        <v>0</v>
      </c>
    </row>
    <row r="8" spans="1:9" ht="20.100000000000001" customHeight="1" x14ac:dyDescent="0.2">
      <c r="A8" s="110" t="s">
        <v>307</v>
      </c>
      <c r="B8" s="110" t="s">
        <v>309</v>
      </c>
      <c r="C8" s="111">
        <v>0</v>
      </c>
      <c r="D8" s="111">
        <v>0</v>
      </c>
      <c r="E8" s="111">
        <v>1000</v>
      </c>
      <c r="F8" s="111">
        <v>0</v>
      </c>
      <c r="G8" s="111">
        <v>0</v>
      </c>
      <c r="I8" s="111">
        <f>SUMIFS(Posebni_Dio!P$6:P$267,Posebni_Dio!$B$6:$B$267,"PRI",Posebni_Dio!$H$6:$H$267,'Po kontima'!$A8)</f>
        <v>0</v>
      </c>
    </row>
    <row r="9" spans="1:9" ht="20.100000000000001" customHeight="1" x14ac:dyDescent="0.2">
      <c r="A9" s="112" t="s">
        <v>310</v>
      </c>
      <c r="B9" s="112" t="s">
        <v>312</v>
      </c>
      <c r="C9" s="113">
        <v>0</v>
      </c>
      <c r="D9" s="113">
        <v>0</v>
      </c>
      <c r="E9" s="113">
        <v>0</v>
      </c>
      <c r="F9" s="113">
        <v>0</v>
      </c>
      <c r="G9" s="113">
        <v>0</v>
      </c>
      <c r="I9" s="113">
        <f>SUMIFS(Posebni_Dio!P$6:P$267,Posebni_Dio!$B$6:$B$267,"PRI",Posebni_Dio!$H$6:$H$267,'Po kontima'!$A9)</f>
        <v>0</v>
      </c>
    </row>
    <row r="10" spans="1:9" ht="20.100000000000001" customHeight="1" x14ac:dyDescent="0.2">
      <c r="A10" s="213" t="s">
        <v>584</v>
      </c>
      <c r="B10" s="112" t="s">
        <v>585</v>
      </c>
      <c r="C10" s="113">
        <v>0</v>
      </c>
      <c r="D10" s="113">
        <v>54000</v>
      </c>
      <c r="E10" s="113">
        <v>0</v>
      </c>
      <c r="F10" s="113">
        <v>0</v>
      </c>
      <c r="G10" s="113">
        <v>0</v>
      </c>
      <c r="I10" s="113">
        <f>SUMIFS(Posebni_Dio!P$6:P$267,Posebni_Dio!$B$6:$B$267,"PRI",Posebni_Dio!$H$6:$H$267,'Po kontima'!$A10)</f>
        <v>0</v>
      </c>
    </row>
    <row r="11" spans="1:9" ht="30" customHeight="1" x14ac:dyDescent="0.2">
      <c r="A11" s="112" t="s">
        <v>301</v>
      </c>
      <c r="B11" s="112" t="s">
        <v>303</v>
      </c>
      <c r="C11" s="113">
        <v>170598.82</v>
      </c>
      <c r="D11" s="113">
        <v>939300</v>
      </c>
      <c r="E11" s="113">
        <v>540549.5</v>
      </c>
      <c r="F11" s="113">
        <v>316.85000000000002</v>
      </c>
      <c r="G11" s="113">
        <v>57.55</v>
      </c>
      <c r="I11" s="113">
        <f>SUMIFS(Posebni_Dio!P$6:P$267,Posebni_Dio!$B$6:$B$267,"PRI",Posebni_Dio!$H$6:$H$267,'Po kontima'!$A11)</f>
        <v>0</v>
      </c>
    </row>
    <row r="12" spans="1:9" ht="30" customHeight="1" x14ac:dyDescent="0.2">
      <c r="A12" s="112" t="s">
        <v>304</v>
      </c>
      <c r="B12" s="112" t="s">
        <v>306</v>
      </c>
      <c r="C12" s="113">
        <v>926315.42999999993</v>
      </c>
      <c r="D12" s="113">
        <v>882000</v>
      </c>
      <c r="E12" s="113">
        <v>612178.76</v>
      </c>
      <c r="F12" s="113">
        <v>66.09</v>
      </c>
      <c r="G12" s="113">
        <v>69.41</v>
      </c>
      <c r="I12" s="113">
        <f>SUMIFS(Posebni_Dio!P$6:P$267,Posebni_Dio!$B$6:$B$267,"PRI",Posebni_Dio!$H$6:$H$267,'Po kontima'!$A12)</f>
        <v>0</v>
      </c>
    </row>
    <row r="13" spans="1:9" ht="20.100000000000001" customHeight="1" x14ac:dyDescent="0.2">
      <c r="A13" s="112" t="s">
        <v>314</v>
      </c>
      <c r="B13" s="112" t="s">
        <v>316</v>
      </c>
      <c r="C13" s="113">
        <v>344.44</v>
      </c>
      <c r="D13" s="113">
        <v>0</v>
      </c>
      <c r="E13" s="113">
        <v>34936</v>
      </c>
      <c r="F13" s="113">
        <v>10142.84</v>
      </c>
      <c r="G13" s="113">
        <v>0</v>
      </c>
      <c r="I13" s="113">
        <f>SUMIFS(Posebni_Dio!P$6:P$267,Posebni_Dio!$B$6:$B$267,"PRI",Posebni_Dio!$H$6:$H$267,'Po kontima'!$A13)</f>
        <v>0</v>
      </c>
    </row>
    <row r="14" spans="1:9" ht="20.100000000000001" customHeight="1" x14ac:dyDescent="0.2">
      <c r="A14" s="112" t="s">
        <v>318</v>
      </c>
      <c r="B14" s="112" t="s">
        <v>320</v>
      </c>
      <c r="C14" s="113">
        <v>0</v>
      </c>
      <c r="D14" s="113">
        <v>0</v>
      </c>
      <c r="E14" s="113">
        <v>0</v>
      </c>
      <c r="F14" s="113">
        <v>0</v>
      </c>
      <c r="G14" s="113">
        <v>0</v>
      </c>
      <c r="I14" s="113">
        <f>SUMIFS(Posebni_Dio!P$6:P$267,Posebni_Dio!$B$6:$B$267,"PRI",Posebni_Dio!$H$6:$H$267,'Po kontima'!$A14)</f>
        <v>0</v>
      </c>
    </row>
    <row r="15" spans="1:9" ht="20.100000000000001" customHeight="1" x14ac:dyDescent="0.2">
      <c r="A15" s="112" t="s">
        <v>280</v>
      </c>
      <c r="B15" s="112" t="s">
        <v>282</v>
      </c>
      <c r="C15" s="113">
        <v>0</v>
      </c>
      <c r="D15" s="113">
        <v>100</v>
      </c>
      <c r="E15" s="113">
        <v>0</v>
      </c>
      <c r="F15" s="113">
        <v>0</v>
      </c>
      <c r="G15" s="113">
        <v>0</v>
      </c>
      <c r="I15" s="113">
        <f>SUMIFS(Posebni_Dio!P$6:P$267,Posebni_Dio!$B$6:$B$267,"PRI",Posebni_Dio!$H$6:$H$267,'Po kontima'!$A15)</f>
        <v>0</v>
      </c>
    </row>
    <row r="16" spans="1:9" ht="30" customHeight="1" x14ac:dyDescent="0.2">
      <c r="A16" s="112" t="s">
        <v>283</v>
      </c>
      <c r="B16" s="112" t="s">
        <v>285</v>
      </c>
      <c r="C16" s="113">
        <v>0</v>
      </c>
      <c r="D16" s="113">
        <v>100</v>
      </c>
      <c r="E16" s="113">
        <v>0</v>
      </c>
      <c r="F16" s="113">
        <v>0</v>
      </c>
      <c r="G16" s="113">
        <v>0</v>
      </c>
      <c r="I16" s="113">
        <f>SUMIFS(Posebni_Dio!P$6:P$267,Posebni_Dio!$B$6:$B$267,"PRI",Posebni_Dio!$H$6:$H$267,'Po kontima'!$A16)</f>
        <v>0</v>
      </c>
    </row>
    <row r="17" spans="1:9" ht="20.100000000000001" customHeight="1" x14ac:dyDescent="0.2">
      <c r="A17" s="112" t="s">
        <v>286</v>
      </c>
      <c r="B17" s="112" t="s">
        <v>288</v>
      </c>
      <c r="C17" s="113">
        <v>9576</v>
      </c>
      <c r="D17" s="113">
        <v>9600</v>
      </c>
      <c r="E17" s="113">
        <v>8686.7999999999993</v>
      </c>
      <c r="F17" s="113">
        <v>90.71</v>
      </c>
      <c r="G17" s="113">
        <v>90.49</v>
      </c>
      <c r="I17" s="113">
        <f>SUMIFS(Posebni_Dio!P$6:P$267,Posebni_Dio!$B$6:$B$267,"PRI",Posebni_Dio!$H$6:$H$267,'Po kontima'!$A17)</f>
        <v>0</v>
      </c>
    </row>
    <row r="18" spans="1:9" ht="20.100000000000001" customHeight="1" x14ac:dyDescent="0.2">
      <c r="A18" s="112" t="s">
        <v>295</v>
      </c>
      <c r="B18" s="112" t="s">
        <v>297</v>
      </c>
      <c r="C18" s="113">
        <v>516201.58</v>
      </c>
      <c r="D18" s="113">
        <v>1073000</v>
      </c>
      <c r="E18" s="113">
        <v>542177.55000000005</v>
      </c>
      <c r="F18" s="113">
        <v>105.03</v>
      </c>
      <c r="G18" s="113">
        <v>50.53</v>
      </c>
      <c r="I18" s="113">
        <f>SUMIFS(Posebni_Dio!P$6:P$267,Posebni_Dio!$B$6:$B$267,"PRI",Posebni_Dio!$H$6:$H$267,'Po kontima'!$A18)</f>
        <v>0</v>
      </c>
    </row>
    <row r="19" spans="1:9" ht="20.100000000000001" customHeight="1" x14ac:dyDescent="0.2">
      <c r="A19" s="112" t="s">
        <v>289</v>
      </c>
      <c r="B19" s="112" t="s">
        <v>291</v>
      </c>
      <c r="C19" s="113">
        <v>4304.74</v>
      </c>
      <c r="D19" s="113">
        <v>8500</v>
      </c>
      <c r="E19" s="113">
        <v>5322.99</v>
      </c>
      <c r="F19" s="113">
        <v>123.65</v>
      </c>
      <c r="G19" s="113">
        <v>62.62</v>
      </c>
      <c r="I19" s="113">
        <f>SUMIFS(Posebni_Dio!P$6:P$267,Posebni_Dio!$B$6:$B$267,"PRI",Posebni_Dio!$H$6:$H$267,'Po kontima'!$A19)</f>
        <v>0</v>
      </c>
    </row>
    <row r="20" spans="1:9" ht="20.100000000000001" customHeight="1" x14ac:dyDescent="0.2">
      <c r="A20" s="112" t="s">
        <v>321</v>
      </c>
      <c r="B20" s="112" t="s">
        <v>323</v>
      </c>
      <c r="C20" s="113">
        <v>149</v>
      </c>
      <c r="D20" s="113">
        <v>100000</v>
      </c>
      <c r="E20" s="113">
        <v>0</v>
      </c>
      <c r="F20" s="113">
        <v>0</v>
      </c>
      <c r="G20" s="113">
        <v>0</v>
      </c>
      <c r="I20" s="113">
        <f>SUMIFS(Posebni_Dio!P$6:P$267,Posebni_Dio!$B$6:$B$267,"PRI",Posebni_Dio!$H$6:$H$267,'Po kontima'!$A20)</f>
        <v>0</v>
      </c>
    </row>
    <row r="21" spans="1:9" ht="30" customHeight="1" x14ac:dyDescent="0.2">
      <c r="A21" s="112" t="s">
        <v>464</v>
      </c>
      <c r="B21" s="112" t="s">
        <v>466</v>
      </c>
      <c r="C21" s="113">
        <v>9232156.6099999994</v>
      </c>
      <c r="D21" s="113">
        <v>20267900</v>
      </c>
      <c r="E21" s="113">
        <v>10065397.220000001</v>
      </c>
      <c r="F21" s="113">
        <v>109.03</v>
      </c>
      <c r="G21" s="113">
        <v>49.66</v>
      </c>
      <c r="I21" s="113">
        <f>SUMIFS(Posebni_Dio!P$6:P$267,Posebni_Dio!$B$6:$B$267,"PRI",Posebni_Dio!$H$6:$H$267,'Po kontima'!$A21)</f>
        <v>0</v>
      </c>
    </row>
    <row r="22" spans="1:9" ht="30" customHeight="1" x14ac:dyDescent="0.2">
      <c r="A22" s="112" t="s">
        <v>465</v>
      </c>
      <c r="B22" s="112" t="s">
        <v>467</v>
      </c>
      <c r="C22" s="113">
        <v>649996</v>
      </c>
      <c r="D22" s="113">
        <v>2207800</v>
      </c>
      <c r="E22" s="113">
        <v>965430.93</v>
      </c>
      <c r="F22" s="113">
        <v>148.53</v>
      </c>
      <c r="G22" s="113">
        <v>43.73</v>
      </c>
      <c r="I22" s="113">
        <f>SUMIFS(Posebni_Dio!P$6:P$267,Posebni_Dio!$B$6:$B$267,"PRI",Posebni_Dio!$H$6:$H$267,'Po kontima'!$A22)</f>
        <v>0</v>
      </c>
    </row>
    <row r="23" spans="1:9" ht="20.100000000000001" customHeight="1" x14ac:dyDescent="0.2">
      <c r="A23" s="112" t="s">
        <v>292</v>
      </c>
      <c r="B23" s="112" t="s">
        <v>294</v>
      </c>
      <c r="C23" s="113">
        <v>285.83999999999997</v>
      </c>
      <c r="D23" s="113">
        <v>0</v>
      </c>
      <c r="E23" s="113">
        <v>3999.38</v>
      </c>
      <c r="F23" s="113">
        <v>1399.17</v>
      </c>
      <c r="G23" s="113">
        <v>0</v>
      </c>
      <c r="I23" s="113">
        <f>SUMIFS(Posebni_Dio!P$6:P$267,Posebni_Dio!$B$6:$B$267,"PRI",Posebni_Dio!$H$6:$H$267,'Po kontima'!$A23)</f>
        <v>0</v>
      </c>
    </row>
    <row r="24" spans="1:9" ht="20.100000000000001" customHeight="1" x14ac:dyDescent="0.2">
      <c r="A24" s="116">
        <v>7211</v>
      </c>
      <c r="B24" s="112" t="s">
        <v>326</v>
      </c>
      <c r="C24" s="113">
        <v>0</v>
      </c>
      <c r="D24" s="113">
        <v>1300</v>
      </c>
      <c r="E24" s="113">
        <v>0</v>
      </c>
      <c r="F24" s="113">
        <v>0</v>
      </c>
      <c r="G24" s="113">
        <v>0</v>
      </c>
      <c r="I24" s="113">
        <f>SUMIFS(Posebni_Dio!P$6:P$267,Posebni_Dio!$B$6:$B$267,"PRI",Posebni_Dio!$H$6:$H$267,'Po kontima'!$A24)</f>
        <v>0</v>
      </c>
    </row>
    <row r="25" spans="1:9" ht="20.100000000000001" customHeight="1" thickBot="1" x14ac:dyDescent="0.25">
      <c r="A25" s="114" t="s">
        <v>298</v>
      </c>
      <c r="B25" s="114" t="s">
        <v>300</v>
      </c>
      <c r="C25" s="115">
        <v>0</v>
      </c>
      <c r="D25" s="115">
        <v>0</v>
      </c>
      <c r="E25" s="115">
        <v>0</v>
      </c>
      <c r="F25" s="117">
        <v>0</v>
      </c>
      <c r="G25" s="117">
        <v>0</v>
      </c>
      <c r="I25" s="115">
        <f>SUMIFS(Posebni_Dio!P$6:P$267,Posebni_Dio!$B$6:$B$267,"PRI",Posebni_Dio!$H$6:$H$267,'Po kontima'!$A25)</f>
        <v>0</v>
      </c>
    </row>
    <row r="26" spans="1:9" ht="35.1" customHeight="1" thickBot="1" x14ac:dyDescent="0.25">
      <c r="A26" s="225" t="s">
        <v>463</v>
      </c>
      <c r="B26" s="225"/>
      <c r="C26" s="82">
        <v>11246298.219999997</v>
      </c>
      <c r="D26" s="82">
        <v>25543600</v>
      </c>
      <c r="E26" s="82">
        <v>12443169.620000003</v>
      </c>
      <c r="F26" s="82">
        <v>110.64235872628323</v>
      </c>
      <c r="G26" s="82">
        <v>48.713453154606249</v>
      </c>
      <c r="I26" s="82">
        <f t="shared" ref="I26" si="1">SUM(I27:I67)</f>
        <v>23268572.130000014</v>
      </c>
    </row>
    <row r="27" spans="1:9" ht="20.100000000000001" customHeight="1" x14ac:dyDescent="0.2">
      <c r="A27" s="116" t="s">
        <v>57</v>
      </c>
      <c r="B27" s="112" t="s">
        <v>59</v>
      </c>
      <c r="C27" s="115">
        <v>7215865.5300000003</v>
      </c>
      <c r="D27" s="115">
        <v>15295100</v>
      </c>
      <c r="E27" s="115">
        <v>7655861.9699999997</v>
      </c>
      <c r="F27" s="117">
        <v>106.1</v>
      </c>
      <c r="G27" s="117">
        <v>50.05</v>
      </c>
      <c r="I27" s="115">
        <f>_xlfn.IFNA(VLOOKUP(A27*1,'[1]PR-RAS'!$A$6:$E$1500,5,FALSE),0)</f>
        <v>14571481.390000001</v>
      </c>
    </row>
    <row r="28" spans="1:9" ht="20.100000000000001" customHeight="1" x14ac:dyDescent="0.2">
      <c r="A28" s="116" t="s">
        <v>60</v>
      </c>
      <c r="B28" s="112" t="s">
        <v>62</v>
      </c>
      <c r="C28" s="115">
        <v>655322.28</v>
      </c>
      <c r="D28" s="115">
        <v>1082600</v>
      </c>
      <c r="E28" s="115">
        <v>768406.67999999993</v>
      </c>
      <c r="F28" s="117">
        <v>117.26</v>
      </c>
      <c r="G28" s="117">
        <v>70.98</v>
      </c>
      <c r="I28" s="115">
        <v>1335947.25</v>
      </c>
    </row>
    <row r="29" spans="1:9" ht="20.100000000000001" customHeight="1" x14ac:dyDescent="0.2">
      <c r="A29" s="116" t="s">
        <v>63</v>
      </c>
      <c r="B29" s="112" t="s">
        <v>65</v>
      </c>
      <c r="C29" s="115">
        <v>1155548.69</v>
      </c>
      <c r="D29" s="115">
        <v>2434500</v>
      </c>
      <c r="E29" s="115">
        <v>1246440.9099999999</v>
      </c>
      <c r="F29" s="117">
        <v>107.87</v>
      </c>
      <c r="G29" s="117">
        <v>51.2</v>
      </c>
      <c r="I29" s="115">
        <f>_xlfn.IFNA(VLOOKUP(A29*1,'[1]PR-RAS'!$A$6:$E$1500,5,FALSE),0)</f>
        <v>2339299.4300000002</v>
      </c>
    </row>
    <row r="30" spans="1:9" ht="20.100000000000001" customHeight="1" x14ac:dyDescent="0.2">
      <c r="A30" s="116" t="s">
        <v>130</v>
      </c>
      <c r="B30" s="112" t="s">
        <v>132</v>
      </c>
      <c r="C30" s="115">
        <v>34213.22</v>
      </c>
      <c r="D30" s="115">
        <v>76600</v>
      </c>
      <c r="E30" s="115">
        <v>31696.550000000003</v>
      </c>
      <c r="F30" s="117">
        <v>92.64</v>
      </c>
      <c r="G30" s="117">
        <v>41.38</v>
      </c>
      <c r="I30" s="115">
        <f>_xlfn.IFNA(VLOOKUP(A30*1,'[1]PR-RAS'!$A$6:$E$1500,5,FALSE),0)</f>
        <v>65659.75</v>
      </c>
    </row>
    <row r="31" spans="1:9" ht="20.100000000000001" customHeight="1" x14ac:dyDescent="0.2">
      <c r="A31" s="116" t="s">
        <v>66</v>
      </c>
      <c r="B31" s="112" t="s">
        <v>68</v>
      </c>
      <c r="C31" s="115">
        <v>162442.19</v>
      </c>
      <c r="D31" s="115">
        <v>360500</v>
      </c>
      <c r="E31" s="115">
        <v>159464.15999999997</v>
      </c>
      <c r="F31" s="117">
        <v>98.17</v>
      </c>
      <c r="G31" s="117">
        <v>44.23</v>
      </c>
      <c r="I31" s="115">
        <f>_xlfn.IFNA(VLOOKUP(A31*1,'[1]PR-RAS'!$A$6:$E$1500,5,FALSE),0)</f>
        <v>323468.42</v>
      </c>
    </row>
    <row r="32" spans="1:9" ht="20.100000000000001" customHeight="1" x14ac:dyDescent="0.2">
      <c r="A32" s="116" t="s">
        <v>69</v>
      </c>
      <c r="B32" s="112" t="s">
        <v>71</v>
      </c>
      <c r="C32" s="115">
        <v>12249.869999999999</v>
      </c>
      <c r="D32" s="115">
        <v>63300</v>
      </c>
      <c r="E32" s="115">
        <v>10312.130000000001</v>
      </c>
      <c r="F32" s="117">
        <v>84.18</v>
      </c>
      <c r="G32" s="117">
        <v>16.29</v>
      </c>
      <c r="I32" s="115">
        <f>_xlfn.IFNA(VLOOKUP(A32*1,'[1]PR-RAS'!$A$6:$E$1500,5,FALSE),0)</f>
        <v>33517.86</v>
      </c>
    </row>
    <row r="33" spans="1:9" ht="20.100000000000001" customHeight="1" x14ac:dyDescent="0.2">
      <c r="A33" s="116" t="s">
        <v>172</v>
      </c>
      <c r="B33" s="112" t="s">
        <v>174</v>
      </c>
      <c r="C33" s="115">
        <v>476</v>
      </c>
      <c r="D33" s="115">
        <v>600</v>
      </c>
      <c r="E33" s="115">
        <v>654</v>
      </c>
      <c r="F33" s="117">
        <v>137.38999999999999</v>
      </c>
      <c r="G33" s="117">
        <v>109</v>
      </c>
      <c r="I33" s="115">
        <f>_xlfn.IFNA(VLOOKUP(A33*1,'[1]PR-RAS'!$A$6:$E$1500,5,FALSE),0)</f>
        <v>829.5</v>
      </c>
    </row>
    <row r="34" spans="1:9" ht="20.100000000000001" customHeight="1" x14ac:dyDescent="0.2">
      <c r="A34" s="116" t="s">
        <v>72</v>
      </c>
      <c r="B34" s="112" t="s">
        <v>74</v>
      </c>
      <c r="C34" s="115">
        <v>86311.76</v>
      </c>
      <c r="D34" s="115">
        <v>191700</v>
      </c>
      <c r="E34" s="115">
        <v>86302.6</v>
      </c>
      <c r="F34" s="117">
        <v>99.99</v>
      </c>
      <c r="G34" s="117">
        <v>45.02</v>
      </c>
      <c r="I34" s="115">
        <f>_xlfn.IFNA(VLOOKUP(A34*1,'[1]PR-RAS'!$A$6:$E$1500,5,FALSE),0)</f>
        <v>168209.17</v>
      </c>
    </row>
    <row r="35" spans="1:9" ht="20.100000000000001" customHeight="1" x14ac:dyDescent="0.2">
      <c r="A35" s="116" t="s">
        <v>75</v>
      </c>
      <c r="B35" s="112" t="s">
        <v>77</v>
      </c>
      <c r="C35" s="115">
        <v>32074.360000000004</v>
      </c>
      <c r="D35" s="115">
        <v>143200</v>
      </c>
      <c r="E35" s="115">
        <v>50476.759999999995</v>
      </c>
      <c r="F35" s="117">
        <v>157.37</v>
      </c>
      <c r="G35" s="117">
        <v>35.25</v>
      </c>
      <c r="I35" s="115">
        <f>_xlfn.IFNA(VLOOKUP(A35*1,'[1]PR-RAS'!$A$6:$E$1500,5,FALSE),0)</f>
        <v>60231.97</v>
      </c>
    </row>
    <row r="36" spans="1:9" ht="20.100000000000001" customHeight="1" x14ac:dyDescent="0.2">
      <c r="A36" s="116" t="s">
        <v>78</v>
      </c>
      <c r="B36" s="112" t="s">
        <v>80</v>
      </c>
      <c r="C36" s="115">
        <v>221660.53</v>
      </c>
      <c r="D36" s="115">
        <v>432000</v>
      </c>
      <c r="E36" s="115">
        <v>194131.65</v>
      </c>
      <c r="F36" s="117">
        <v>87.58</v>
      </c>
      <c r="G36" s="117">
        <v>44.94</v>
      </c>
      <c r="I36" s="115">
        <f>_xlfn.IFNA(VLOOKUP(A36*1,'[1]PR-RAS'!$A$6:$E$1500,5,FALSE),0)</f>
        <v>419401.03</v>
      </c>
    </row>
    <row r="37" spans="1:9" ht="20.100000000000001" customHeight="1" x14ac:dyDescent="0.2">
      <c r="A37" s="116" t="s">
        <v>81</v>
      </c>
      <c r="B37" s="112" t="s">
        <v>83</v>
      </c>
      <c r="C37" s="115">
        <v>14627.81</v>
      </c>
      <c r="D37" s="115">
        <v>26000</v>
      </c>
      <c r="E37" s="115">
        <v>12257.66</v>
      </c>
      <c r="F37" s="117">
        <v>83.8</v>
      </c>
      <c r="G37" s="117">
        <v>47.14</v>
      </c>
      <c r="I37" s="115">
        <f>_xlfn.IFNA(VLOOKUP(A37*1,'[1]PR-RAS'!$A$6:$E$1500,5,FALSE),0)</f>
        <v>27705.1</v>
      </c>
    </row>
    <row r="38" spans="1:9" ht="20.100000000000001" customHeight="1" x14ac:dyDescent="0.2">
      <c r="A38" s="116" t="s">
        <v>84</v>
      </c>
      <c r="B38" s="112" t="s">
        <v>86</v>
      </c>
      <c r="C38" s="115">
        <v>1175.7</v>
      </c>
      <c r="D38" s="115">
        <v>11500</v>
      </c>
      <c r="E38" s="115">
        <v>1640.09</v>
      </c>
      <c r="F38" s="117">
        <v>139.5</v>
      </c>
      <c r="G38" s="117">
        <v>14.26</v>
      </c>
      <c r="I38" s="115">
        <f>_xlfn.IFNA(VLOOKUP(A38*1,'[1]PR-RAS'!$A$6:$E$1500,5,FALSE),0)</f>
        <v>7764.76</v>
      </c>
    </row>
    <row r="39" spans="1:9" ht="20.100000000000001" customHeight="1" x14ac:dyDescent="0.2">
      <c r="A39" s="116" t="s">
        <v>138</v>
      </c>
      <c r="B39" s="112" t="s">
        <v>140</v>
      </c>
      <c r="C39" s="115">
        <v>0</v>
      </c>
      <c r="D39" s="115">
        <v>700</v>
      </c>
      <c r="E39" s="115">
        <v>956.58</v>
      </c>
      <c r="F39" s="117">
        <v>0</v>
      </c>
      <c r="G39" s="117">
        <v>136.65</v>
      </c>
      <c r="I39" s="115">
        <f>_xlfn.IFNA(VLOOKUP(A39*1,'[1]PR-RAS'!$A$6:$E$1500,5,FALSE),0)</f>
        <v>2740.27</v>
      </c>
    </row>
    <row r="40" spans="1:9" ht="20.100000000000001" customHeight="1" x14ac:dyDescent="0.2">
      <c r="A40" s="116" t="s">
        <v>87</v>
      </c>
      <c r="B40" s="112" t="s">
        <v>89</v>
      </c>
      <c r="C40" s="115">
        <v>27803.58</v>
      </c>
      <c r="D40" s="115">
        <v>84000</v>
      </c>
      <c r="E40" s="115">
        <v>38585.839999999997</v>
      </c>
      <c r="F40" s="117">
        <v>138.78</v>
      </c>
      <c r="G40" s="117">
        <v>45.94</v>
      </c>
      <c r="I40" s="115">
        <f>_xlfn.IFNA(VLOOKUP(A40*1,'[1]PR-RAS'!$A$6:$E$1500,5,FALSE),0)</f>
        <v>70282.600000000006</v>
      </c>
    </row>
    <row r="41" spans="1:9" ht="20.100000000000001" customHeight="1" x14ac:dyDescent="0.2">
      <c r="A41" s="116" t="s">
        <v>38</v>
      </c>
      <c r="B41" s="112" t="s">
        <v>40</v>
      </c>
      <c r="C41" s="115">
        <v>48681.43</v>
      </c>
      <c r="D41" s="115">
        <v>223200</v>
      </c>
      <c r="E41" s="115">
        <v>127477.49</v>
      </c>
      <c r="F41" s="117">
        <v>261.86</v>
      </c>
      <c r="G41" s="117">
        <v>57.11</v>
      </c>
      <c r="I41" s="115">
        <f>_xlfn.IFNA(VLOOKUP(A41*1,'[1]PR-RAS'!$A$6:$E$1500,5,FALSE),0)</f>
        <v>140597.34</v>
      </c>
    </row>
    <row r="42" spans="1:9" ht="20.100000000000001" customHeight="1" x14ac:dyDescent="0.2">
      <c r="A42" s="116" t="s">
        <v>91</v>
      </c>
      <c r="B42" s="112" t="s">
        <v>93</v>
      </c>
      <c r="C42" s="115">
        <v>389.46000000000004</v>
      </c>
      <c r="D42" s="115">
        <v>118600</v>
      </c>
      <c r="E42" s="115">
        <v>10279.66</v>
      </c>
      <c r="F42" s="117">
        <v>2639.46</v>
      </c>
      <c r="G42" s="117">
        <v>8.67</v>
      </c>
      <c r="I42" s="115">
        <f>_xlfn.IFNA(VLOOKUP(A42*1,'[1]PR-RAS'!$A$6:$E$1500,5,FALSE),0)</f>
        <v>30179.7</v>
      </c>
    </row>
    <row r="43" spans="1:9" ht="20.100000000000001" customHeight="1" x14ac:dyDescent="0.2">
      <c r="A43" s="116" t="s">
        <v>94</v>
      </c>
      <c r="B43" s="112" t="s">
        <v>96</v>
      </c>
      <c r="C43" s="115">
        <v>85538.36</v>
      </c>
      <c r="D43" s="115">
        <v>193700</v>
      </c>
      <c r="E43" s="115">
        <v>93053.94</v>
      </c>
      <c r="F43" s="117">
        <v>108.79</v>
      </c>
      <c r="G43" s="117">
        <v>48.04</v>
      </c>
      <c r="I43" s="115">
        <f>_xlfn.IFNA(VLOOKUP(A43*1,'[1]PR-RAS'!$A$6:$E$1500,5,FALSE),0)</f>
        <v>182133.25</v>
      </c>
    </row>
    <row r="44" spans="1:9" ht="20.100000000000001" customHeight="1" x14ac:dyDescent="0.2">
      <c r="A44" s="116" t="s">
        <v>97</v>
      </c>
      <c r="B44" s="112" t="s">
        <v>99</v>
      </c>
      <c r="C44" s="115">
        <v>181754.99000000002</v>
      </c>
      <c r="D44" s="115">
        <v>413800</v>
      </c>
      <c r="E44" s="115">
        <v>231129.24000000005</v>
      </c>
      <c r="F44" s="117">
        <v>127.17</v>
      </c>
      <c r="G44" s="117">
        <v>55.86</v>
      </c>
      <c r="I44" s="115">
        <f>_xlfn.IFNA(VLOOKUP(A44*1,'[1]PR-RAS'!$A$6:$E$1500,5,FALSE),0)</f>
        <v>402724.41</v>
      </c>
    </row>
    <row r="45" spans="1:9" ht="20.100000000000001" customHeight="1" x14ac:dyDescent="0.2">
      <c r="A45" s="116" t="s">
        <v>100</v>
      </c>
      <c r="B45" s="112" t="s">
        <v>102</v>
      </c>
      <c r="C45" s="115">
        <v>13780</v>
      </c>
      <c r="D45" s="115">
        <v>54600</v>
      </c>
      <c r="E45" s="115">
        <v>0</v>
      </c>
      <c r="F45" s="117">
        <v>0</v>
      </c>
      <c r="G45" s="117">
        <v>0</v>
      </c>
      <c r="I45" s="115">
        <f>_xlfn.IFNA(VLOOKUP(A45*1,'[1]PR-RAS'!$A$6:$E$1500,5,FALSE),0)</f>
        <v>25883.52</v>
      </c>
    </row>
    <row r="46" spans="1:9" ht="20.100000000000001" customHeight="1" x14ac:dyDescent="0.2">
      <c r="A46" s="116" t="s">
        <v>41</v>
      </c>
      <c r="B46" s="112" t="s">
        <v>43</v>
      </c>
      <c r="C46" s="115">
        <v>80140.409999999989</v>
      </c>
      <c r="D46" s="115">
        <v>284500</v>
      </c>
      <c r="E46" s="115">
        <v>184198.33000000002</v>
      </c>
      <c r="F46" s="117">
        <v>229.84</v>
      </c>
      <c r="G46" s="117">
        <v>64.739999999999995</v>
      </c>
      <c r="I46" s="115">
        <f>_xlfn.IFNA(VLOOKUP(A46*1,'[1]PR-RAS'!$A$6:$E$1500,5,FALSE),0)</f>
        <v>284572.14</v>
      </c>
    </row>
    <row r="47" spans="1:9" ht="20.100000000000001" customHeight="1" x14ac:dyDescent="0.2">
      <c r="A47" s="116" t="s">
        <v>104</v>
      </c>
      <c r="B47" s="112" t="s">
        <v>106</v>
      </c>
      <c r="C47" s="115">
        <v>88249.88</v>
      </c>
      <c r="D47" s="115">
        <v>237900</v>
      </c>
      <c r="E47" s="115">
        <v>84239.69</v>
      </c>
      <c r="F47" s="117">
        <v>95.46</v>
      </c>
      <c r="G47" s="117">
        <v>35.409999999999997</v>
      </c>
      <c r="I47" s="115">
        <f>_xlfn.IFNA(VLOOKUP(A47*1,'[1]PR-RAS'!$A$6:$E$1500,5,FALSE),0)</f>
        <v>206886.92</v>
      </c>
    </row>
    <row r="48" spans="1:9" ht="20.100000000000001" customHeight="1" x14ac:dyDescent="0.2">
      <c r="A48" s="116">
        <v>3239</v>
      </c>
      <c r="B48" s="112" t="s">
        <v>128</v>
      </c>
      <c r="C48" s="115">
        <v>69078.179999999993</v>
      </c>
      <c r="D48" s="115">
        <v>279400</v>
      </c>
      <c r="E48" s="115">
        <v>103393.16</v>
      </c>
      <c r="F48" s="117">
        <v>149.68</v>
      </c>
      <c r="G48" s="117">
        <v>37.01</v>
      </c>
      <c r="I48" s="115">
        <f>_xlfn.IFNA(VLOOKUP(A48*1,'[1]PR-RAS'!$A$6:$E$1500,5,FALSE),0)</f>
        <v>201814.79</v>
      </c>
    </row>
    <row r="49" spans="1:11" ht="20.100000000000001" customHeight="1" x14ac:dyDescent="0.2">
      <c r="A49" s="116" t="s">
        <v>150</v>
      </c>
      <c r="B49" s="112" t="s">
        <v>152</v>
      </c>
      <c r="C49" s="115">
        <v>0</v>
      </c>
      <c r="D49" s="115">
        <v>0</v>
      </c>
      <c r="E49" s="115">
        <v>1031.19</v>
      </c>
      <c r="F49" s="117">
        <v>0</v>
      </c>
      <c r="G49" s="117">
        <v>0</v>
      </c>
      <c r="I49" s="115">
        <v>407.3</v>
      </c>
    </row>
    <row r="50" spans="1:11" ht="30" customHeight="1" x14ac:dyDescent="0.2">
      <c r="A50" s="112" t="s">
        <v>107</v>
      </c>
      <c r="B50" s="112" t="s">
        <v>109</v>
      </c>
      <c r="C50" s="113">
        <v>1297.25</v>
      </c>
      <c r="D50" s="113">
        <v>11000</v>
      </c>
      <c r="E50" s="113">
        <v>3629.86</v>
      </c>
      <c r="F50" s="113">
        <v>279.81</v>
      </c>
      <c r="G50" s="113">
        <v>33</v>
      </c>
      <c r="I50" s="115">
        <f>_xlfn.IFNA(VLOOKUP(A50*1,'[1]PR-RAS'!$A$6:$E$1500,5,FALSE),0)</f>
        <v>5083.92</v>
      </c>
    </row>
    <row r="51" spans="1:11" ht="20.100000000000001" customHeight="1" x14ac:dyDescent="0.2">
      <c r="A51" s="116" t="s">
        <v>110</v>
      </c>
      <c r="B51" s="112" t="s">
        <v>112</v>
      </c>
      <c r="C51" s="115">
        <v>29416.679999999997</v>
      </c>
      <c r="D51" s="115">
        <v>31500</v>
      </c>
      <c r="E51" s="115">
        <v>13825.92</v>
      </c>
      <c r="F51" s="117">
        <v>47</v>
      </c>
      <c r="G51" s="117">
        <v>43.89</v>
      </c>
      <c r="I51" s="115">
        <f>_xlfn.IFNA(VLOOKUP(A51*1,'[1]PR-RAS'!$A$6:$E$1500,5,FALSE),0)</f>
        <v>30351.56</v>
      </c>
    </row>
    <row r="52" spans="1:11" ht="20.100000000000001" customHeight="1" x14ac:dyDescent="0.2">
      <c r="A52" s="116" t="s">
        <v>154</v>
      </c>
      <c r="B52" s="112" t="s">
        <v>156</v>
      </c>
      <c r="C52" s="115">
        <v>8147.45</v>
      </c>
      <c r="D52" s="115">
        <v>31300</v>
      </c>
      <c r="E52" s="115">
        <v>8691.1400000000012</v>
      </c>
      <c r="F52" s="117">
        <v>106.67</v>
      </c>
      <c r="G52" s="117">
        <v>27.77</v>
      </c>
      <c r="I52" s="115">
        <f>_xlfn.IFNA(VLOOKUP(A52*1,'[1]PR-RAS'!$A$6:$E$1500,5,FALSE),0)</f>
        <v>26654.1</v>
      </c>
    </row>
    <row r="53" spans="1:11" ht="20.100000000000001" customHeight="1" x14ac:dyDescent="0.2">
      <c r="A53" s="116" t="s">
        <v>113</v>
      </c>
      <c r="B53" s="112" t="s">
        <v>115</v>
      </c>
      <c r="C53" s="115">
        <v>4329.9400000000005</v>
      </c>
      <c r="D53" s="115">
        <v>5300</v>
      </c>
      <c r="E53" s="115">
        <v>4391.0599999999995</v>
      </c>
      <c r="F53" s="117">
        <v>101.41</v>
      </c>
      <c r="G53" s="117">
        <v>82.85</v>
      </c>
      <c r="I53" s="115">
        <f>_xlfn.IFNA(VLOOKUP(A53*1,'[1]PR-RAS'!$A$6:$E$1500,5,FALSE),0)</f>
        <v>4984.9399999999996</v>
      </c>
    </row>
    <row r="54" spans="1:11" ht="20.100000000000001" customHeight="1" x14ac:dyDescent="0.2">
      <c r="A54" s="116" t="s">
        <v>116</v>
      </c>
      <c r="B54" s="112" t="s">
        <v>118</v>
      </c>
      <c r="C54" s="115">
        <v>10546.439999999999</v>
      </c>
      <c r="D54" s="115">
        <v>23100</v>
      </c>
      <c r="E54" s="115">
        <v>7904.15</v>
      </c>
      <c r="F54" s="117">
        <v>74.95</v>
      </c>
      <c r="G54" s="117">
        <v>34.22</v>
      </c>
      <c r="I54" s="115">
        <f>_xlfn.IFNA(VLOOKUP(A54*1,'[1]PR-RAS'!$A$6:$E$1500,5,FALSE),0)</f>
        <v>20764.34</v>
      </c>
    </row>
    <row r="55" spans="1:11" ht="20.100000000000001" customHeight="1" x14ac:dyDescent="0.2">
      <c r="A55" s="116" t="s">
        <v>159</v>
      </c>
      <c r="B55" s="112" t="s">
        <v>161</v>
      </c>
      <c r="C55" s="115">
        <v>1430.57</v>
      </c>
      <c r="D55" s="115">
        <v>5700</v>
      </c>
      <c r="E55" s="115">
        <v>1216.76</v>
      </c>
      <c r="F55" s="117">
        <v>85.05</v>
      </c>
      <c r="G55" s="117">
        <v>21.35</v>
      </c>
      <c r="I55" s="115">
        <f>_xlfn.IFNA(VLOOKUP(A55*1,'[1]PR-RAS'!$A$6:$E$1500,5,FALSE),0)</f>
        <v>4768.58</v>
      </c>
    </row>
    <row r="56" spans="1:11" ht="20.100000000000001" customHeight="1" x14ac:dyDescent="0.2">
      <c r="A56" s="116" t="s">
        <v>119</v>
      </c>
      <c r="B56" s="112" t="s">
        <v>121</v>
      </c>
      <c r="C56" s="115">
        <v>7966.45</v>
      </c>
      <c r="D56" s="115">
        <v>22300</v>
      </c>
      <c r="E56" s="115">
        <v>11103.71</v>
      </c>
      <c r="F56" s="117">
        <v>139.38</v>
      </c>
      <c r="G56" s="117">
        <v>49.79</v>
      </c>
      <c r="I56" s="115">
        <f>_xlfn.IFNA(VLOOKUP(A56*1,'[1]PR-RAS'!$A$6:$E$1500,5,FALSE),0)</f>
        <v>20637.03</v>
      </c>
    </row>
    <row r="57" spans="1:11" ht="20.100000000000001" customHeight="1" x14ac:dyDescent="0.2">
      <c r="A57" s="116" t="s">
        <v>163</v>
      </c>
      <c r="B57" s="112" t="s">
        <v>165</v>
      </c>
      <c r="C57" s="115">
        <v>213.91</v>
      </c>
      <c r="D57" s="115">
        <v>300</v>
      </c>
      <c r="E57" s="115">
        <v>69.27</v>
      </c>
      <c r="F57" s="117">
        <v>32.380000000000003</v>
      </c>
      <c r="G57" s="117">
        <v>23.09</v>
      </c>
      <c r="I57" s="115">
        <f>_xlfn.IFNA(VLOOKUP(A57*1,'[1]PR-RAS'!$A$6:$E$1500,5,FALSE),0)</f>
        <v>659.87</v>
      </c>
    </row>
    <row r="58" spans="1:11" ht="30" customHeight="1" x14ac:dyDescent="0.2">
      <c r="A58" s="112" t="s">
        <v>122</v>
      </c>
      <c r="B58" s="112" t="s">
        <v>124</v>
      </c>
      <c r="C58" s="113">
        <v>0</v>
      </c>
      <c r="D58" s="113">
        <v>0</v>
      </c>
      <c r="E58" s="113">
        <v>0</v>
      </c>
      <c r="F58" s="113">
        <v>0</v>
      </c>
      <c r="G58" s="113">
        <v>0</v>
      </c>
      <c r="I58" s="115">
        <f>_xlfn.IFNA(VLOOKUP(A58*1,'[1]PR-RAS'!$A$6:$E$1500,5,FALSE),0)</f>
        <v>0</v>
      </c>
    </row>
    <row r="59" spans="1:11" ht="20.100000000000001" customHeight="1" x14ac:dyDescent="0.2">
      <c r="A59" s="116" t="s">
        <v>260</v>
      </c>
      <c r="B59" s="112" t="s">
        <v>262</v>
      </c>
      <c r="C59" s="115">
        <v>0</v>
      </c>
      <c r="D59" s="115">
        <v>188000</v>
      </c>
      <c r="E59" s="115">
        <v>0</v>
      </c>
      <c r="F59" s="117">
        <v>0</v>
      </c>
      <c r="G59" s="117">
        <v>0</v>
      </c>
      <c r="I59" s="115">
        <f>_xlfn.IFNA(VLOOKUP(A59*1,'[1]PR-RAS'!$A$6:$E$1500,5,FALSE),0)</f>
        <v>0</v>
      </c>
    </row>
    <row r="60" spans="1:11" ht="20.100000000000001" customHeight="1" x14ac:dyDescent="0.2">
      <c r="A60" s="116" t="s">
        <v>27</v>
      </c>
      <c r="B60" s="112" t="s">
        <v>29</v>
      </c>
      <c r="C60" s="115">
        <v>60440.4</v>
      </c>
      <c r="D60" s="115">
        <v>90400</v>
      </c>
      <c r="E60" s="115">
        <v>7953.38</v>
      </c>
      <c r="F60" s="117">
        <v>13.16</v>
      </c>
      <c r="G60" s="117">
        <v>8.8000000000000007</v>
      </c>
      <c r="I60" s="115">
        <f>_xlfn.IFNA(VLOOKUP(A60*1,'[1]PR-RAS'!$A$6:$E$1500,5,FALSE),0)</f>
        <v>128887.01</v>
      </c>
      <c r="K60" s="31"/>
    </row>
    <row r="61" spans="1:11" ht="20.100000000000001" customHeight="1" x14ac:dyDescent="0.2">
      <c r="A61" s="116" t="s">
        <v>272</v>
      </c>
      <c r="B61" s="112" t="s">
        <v>274</v>
      </c>
      <c r="C61" s="115">
        <v>0</v>
      </c>
      <c r="D61" s="115">
        <v>0</v>
      </c>
      <c r="E61" s="115">
        <v>0</v>
      </c>
      <c r="F61" s="117">
        <v>0</v>
      </c>
      <c r="G61" s="117">
        <v>0</v>
      </c>
      <c r="I61" s="115">
        <f>_xlfn.IFNA(VLOOKUP(A61*1,'[1]PR-RAS'!$A$6:$E$1500,5,FALSE),0)</f>
        <v>0</v>
      </c>
    </row>
    <row r="62" spans="1:11" ht="20.100000000000001" customHeight="1" x14ac:dyDescent="0.2">
      <c r="A62" s="116" t="s">
        <v>30</v>
      </c>
      <c r="B62" s="112" t="s">
        <v>32</v>
      </c>
      <c r="C62" s="115">
        <v>425</v>
      </c>
      <c r="D62" s="115">
        <v>176500</v>
      </c>
      <c r="E62" s="115">
        <v>5939.75</v>
      </c>
      <c r="F62" s="117">
        <v>1397.59</v>
      </c>
      <c r="G62" s="117">
        <v>3.37</v>
      </c>
      <c r="I62" s="115">
        <f>_xlfn.IFNA(VLOOKUP(A62*1,'[1]PR-RAS'!$A$6:$E$1500,5,FALSE),0)</f>
        <v>14600.54</v>
      </c>
    </row>
    <row r="63" spans="1:11" ht="20.100000000000001" customHeight="1" x14ac:dyDescent="0.2">
      <c r="A63" s="116" t="s">
        <v>276</v>
      </c>
      <c r="B63" s="112" t="s">
        <v>278</v>
      </c>
      <c r="C63" s="115">
        <v>0</v>
      </c>
      <c r="D63" s="115">
        <v>0</v>
      </c>
      <c r="E63" s="115">
        <v>0</v>
      </c>
      <c r="F63" s="117">
        <v>0</v>
      </c>
      <c r="G63" s="117">
        <v>0</v>
      </c>
      <c r="I63" s="115">
        <f>_xlfn.IFNA(VLOOKUP(A63*1,'[1]PR-RAS'!$A$6:$E$1500,5,FALSE),0)</f>
        <v>0</v>
      </c>
    </row>
    <row r="64" spans="1:11" ht="20.100000000000001" customHeight="1" x14ac:dyDescent="0.2">
      <c r="A64" s="116" t="s">
        <v>14</v>
      </c>
      <c r="B64" s="112" t="s">
        <v>16</v>
      </c>
      <c r="C64" s="115">
        <v>1500</v>
      </c>
      <c r="D64" s="115">
        <v>166500</v>
      </c>
      <c r="E64" s="115">
        <v>166500</v>
      </c>
      <c r="F64" s="117">
        <v>11100</v>
      </c>
      <c r="G64" s="117">
        <v>100</v>
      </c>
      <c r="I64" s="115">
        <f>_xlfn.IFNA(VLOOKUP(A64*1,'[1]PR-RAS'!$A$6:$E$1500,5,FALSE),0)</f>
        <v>1500</v>
      </c>
    </row>
    <row r="65" spans="1:9" ht="20.100000000000001" customHeight="1" x14ac:dyDescent="0.2">
      <c r="A65" s="116" t="s">
        <v>17</v>
      </c>
      <c r="B65" s="112" t="s">
        <v>19</v>
      </c>
      <c r="C65" s="115">
        <v>933053.92000000016</v>
      </c>
      <c r="D65" s="115">
        <v>2508000</v>
      </c>
      <c r="E65" s="115">
        <v>900919.61</v>
      </c>
      <c r="F65" s="117">
        <v>96.56</v>
      </c>
      <c r="G65" s="117">
        <v>35.92</v>
      </c>
      <c r="I65" s="115">
        <f>_xlfn.IFNA(VLOOKUP(A65*1,'[1]PR-RAS'!$A$6:$E$1500,5,FALSE),0)</f>
        <v>2095340.43</v>
      </c>
    </row>
    <row r="66" spans="1:9" ht="20.100000000000001" customHeight="1" x14ac:dyDescent="0.2">
      <c r="A66" s="116" t="s">
        <v>20</v>
      </c>
      <c r="B66" s="112" t="s">
        <v>22</v>
      </c>
      <c r="C66" s="115">
        <v>145.97999999999999</v>
      </c>
      <c r="D66" s="115">
        <v>4200</v>
      </c>
      <c r="E66" s="115">
        <v>1874.88</v>
      </c>
      <c r="F66" s="117">
        <v>1284.3399999999999</v>
      </c>
      <c r="G66" s="117">
        <v>44.64</v>
      </c>
      <c r="I66" s="115">
        <f>_xlfn.IFNA(VLOOKUP(A66*1,'[1]PR-RAS'!$A$6:$E$1500,5,FALSE),0)</f>
        <v>3208.98</v>
      </c>
    </row>
    <row r="67" spans="1:9" ht="20.100000000000001" customHeight="1" thickBot="1" x14ac:dyDescent="0.25">
      <c r="A67" s="116" t="s">
        <v>23</v>
      </c>
      <c r="B67" s="112" t="s">
        <v>25</v>
      </c>
      <c r="C67" s="115">
        <v>0</v>
      </c>
      <c r="D67" s="115">
        <v>271500</v>
      </c>
      <c r="E67" s="115">
        <v>217159.85</v>
      </c>
      <c r="F67" s="117">
        <v>0</v>
      </c>
      <c r="G67" s="117">
        <v>79.989999999999995</v>
      </c>
      <c r="I67" s="115">
        <v>9392.9599999999991</v>
      </c>
    </row>
    <row r="68" spans="1:9" ht="35.1" customHeight="1" thickBot="1" x14ac:dyDescent="0.25">
      <c r="A68" s="224"/>
      <c r="B68" s="224"/>
      <c r="C68" s="119"/>
      <c r="D68" s="119"/>
      <c r="E68" s="119"/>
      <c r="F68" s="119"/>
      <c r="G68" s="119"/>
      <c r="I68" s="119"/>
    </row>
  </sheetData>
  <sortState ref="A8:B23">
    <sortCondition ref="A7:A23"/>
  </sortState>
  <mergeCells count="5">
    <mergeCell ref="A1:D1"/>
    <mergeCell ref="A2:G2"/>
    <mergeCell ref="A6:B6"/>
    <mergeCell ref="A68:B68"/>
    <mergeCell ref="A26:B26"/>
  </mergeCells>
  <pageMargins left="0.39370078740157483" right="0.39370078740157483" top="0.59055118110236227" bottom="0.59055118110236227" header="0" footer="0"/>
  <pageSetup paperSize="9" scale="82" orientation="portrait" r:id="rId1"/>
  <headerFooter alignWithMargins="0">
    <oddHeader>&amp;L&amp;"Arial,Bold"&amp;K04-023KNJIŽNICE GRADA ZAGREBA
STARČEVIĆEV TRG 6
OIB: 93571946376</oddHeader>
    <oddFooter xml:space="preserve">&amp;C&amp;8 Stranica 
&amp;"Arial,Bold"&amp;P&amp;"Arial,Regular"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tabSelected="1" zoomScale="90" zoomScaleNormal="90" workbookViewId="0">
      <pane ySplit="4" topLeftCell="A5" activePane="bottomLeft" state="frozen"/>
      <selection activeCell="F1" sqref="F1"/>
      <selection pane="bottomLeft" activeCell="J11" sqref="J11"/>
    </sheetView>
  </sheetViews>
  <sheetFormatPr defaultColWidth="8.7109375" defaultRowHeight="12.75" x14ac:dyDescent="0.2"/>
  <cols>
    <col min="1" max="1" width="10.5703125" style="67" customWidth="1"/>
    <col min="2" max="2" width="45.7109375" style="67" customWidth="1"/>
    <col min="3" max="5" width="13.5703125" style="67" customWidth="1"/>
    <col min="6" max="7" width="10.5703125" style="172" customWidth="1"/>
    <col min="8" max="13" width="8.7109375" style="67" customWidth="1"/>
    <col min="14" max="16384" width="8.7109375" style="67"/>
  </cols>
  <sheetData>
    <row r="1" spans="1:7" ht="20.100000000000001" customHeight="1" x14ac:dyDescent="0.2">
      <c r="A1" s="226"/>
      <c r="B1" s="226"/>
      <c r="C1" s="226"/>
      <c r="D1" s="226"/>
    </row>
    <row r="2" spans="1:7" ht="39.950000000000003" customHeight="1" x14ac:dyDescent="0.2">
      <c r="A2" s="227" t="s">
        <v>577</v>
      </c>
      <c r="B2" s="227"/>
      <c r="C2" s="227"/>
      <c r="D2" s="227"/>
      <c r="E2" s="227"/>
      <c r="F2" s="227"/>
      <c r="G2" s="227"/>
    </row>
    <row r="3" spans="1:7" ht="20.100000000000001" customHeight="1" thickBot="1" x14ac:dyDescent="0.25">
      <c r="E3" s="173"/>
      <c r="F3" s="174"/>
      <c r="G3" s="174"/>
    </row>
    <row r="4" spans="1:7" ht="35.1" customHeight="1" thickBot="1" x14ac:dyDescent="0.25">
      <c r="A4" s="175" t="s">
        <v>345</v>
      </c>
      <c r="B4" s="175" t="s">
        <v>489</v>
      </c>
      <c r="C4" s="175" t="s">
        <v>571</v>
      </c>
      <c r="D4" s="175" t="s">
        <v>572</v>
      </c>
      <c r="E4" s="175" t="s">
        <v>580</v>
      </c>
      <c r="F4" s="176" t="s">
        <v>573</v>
      </c>
      <c r="G4" s="176" t="s">
        <v>574</v>
      </c>
    </row>
    <row r="5" spans="1:7" ht="18" customHeight="1" thickBot="1" x14ac:dyDescent="0.25">
      <c r="A5" s="177">
        <v>1</v>
      </c>
      <c r="B5" s="177">
        <v>2</v>
      </c>
      <c r="C5" s="177">
        <v>3</v>
      </c>
      <c r="D5" s="177">
        <v>4</v>
      </c>
      <c r="E5" s="177">
        <v>5</v>
      </c>
      <c r="F5" s="177">
        <v>6</v>
      </c>
      <c r="G5" s="177">
        <v>7</v>
      </c>
    </row>
    <row r="6" spans="1:7" ht="35.1" customHeight="1" collapsed="1" thickBot="1" x14ac:dyDescent="0.25">
      <c r="A6" s="228" t="s">
        <v>468</v>
      </c>
      <c r="B6" s="228"/>
      <c r="C6" s="178">
        <v>11509928.459999999</v>
      </c>
      <c r="D6" s="178">
        <v>25543600</v>
      </c>
      <c r="E6" s="178">
        <v>12779679.130000001</v>
      </c>
      <c r="F6" s="178">
        <v>111.03178594387199</v>
      </c>
      <c r="G6" s="178">
        <v>50.030845808734867</v>
      </c>
    </row>
    <row r="7" spans="1:7" ht="24.95" customHeight="1" thickBot="1" x14ac:dyDescent="0.25">
      <c r="A7" s="179" t="s">
        <v>455</v>
      </c>
      <c r="B7" s="180" t="s">
        <v>488</v>
      </c>
      <c r="C7" s="181">
        <v>9882152.6099999994</v>
      </c>
      <c r="D7" s="181">
        <v>22475700</v>
      </c>
      <c r="E7" s="181">
        <v>11030828.15</v>
      </c>
      <c r="F7" s="181">
        <v>111.62373811994794</v>
      </c>
      <c r="G7" s="181">
        <v>49.078908109647315</v>
      </c>
    </row>
    <row r="8" spans="1:7" ht="24.95" customHeight="1" thickBot="1" x14ac:dyDescent="0.25">
      <c r="A8" s="179" t="s">
        <v>490</v>
      </c>
      <c r="B8" s="180" t="s">
        <v>426</v>
      </c>
      <c r="C8" s="181">
        <v>14166.58</v>
      </c>
      <c r="D8" s="181">
        <v>18300</v>
      </c>
      <c r="E8" s="181">
        <v>18009.169999999998</v>
      </c>
      <c r="F8" s="181">
        <v>127.12433064296391</v>
      </c>
      <c r="G8" s="181">
        <v>98.410765027322398</v>
      </c>
    </row>
    <row r="9" spans="1:7" ht="24.95" customHeight="1" thickBot="1" x14ac:dyDescent="0.25">
      <c r="A9" s="179" t="s">
        <v>491</v>
      </c>
      <c r="B9" s="180" t="s">
        <v>434</v>
      </c>
      <c r="C9" s="181">
        <v>516201.58</v>
      </c>
      <c r="D9" s="181">
        <v>1073000</v>
      </c>
      <c r="E9" s="181">
        <v>542177.55000000005</v>
      </c>
      <c r="F9" s="181">
        <v>105.03213686405222</v>
      </c>
      <c r="G9" s="181">
        <v>50.529128611369998</v>
      </c>
    </row>
    <row r="10" spans="1:7" s="211" customFormat="1" ht="24.95" customHeight="1" thickBot="1" x14ac:dyDescent="0.25">
      <c r="A10" s="179" t="s">
        <v>588</v>
      </c>
      <c r="B10" s="180" t="s">
        <v>589</v>
      </c>
      <c r="C10" s="181">
        <v>0</v>
      </c>
      <c r="D10" s="181">
        <v>54000</v>
      </c>
      <c r="E10" s="181">
        <v>0</v>
      </c>
      <c r="F10" s="181">
        <v>0</v>
      </c>
      <c r="G10" s="181">
        <v>0</v>
      </c>
    </row>
    <row r="11" spans="1:7" ht="24.95" customHeight="1" thickBot="1" x14ac:dyDescent="0.25">
      <c r="A11" s="179" t="s">
        <v>492</v>
      </c>
      <c r="B11" s="180" t="s">
        <v>440</v>
      </c>
      <c r="C11" s="181">
        <v>1096914.25</v>
      </c>
      <c r="D11" s="181">
        <v>1821300</v>
      </c>
      <c r="E11" s="181">
        <v>1152728.26</v>
      </c>
      <c r="F11" s="181">
        <v>105.0882746759831</v>
      </c>
      <c r="G11" s="181">
        <v>63.291509361445122</v>
      </c>
    </row>
    <row r="12" spans="1:7" ht="24.95" customHeight="1" thickBot="1" x14ac:dyDescent="0.25">
      <c r="A12" s="179" t="s">
        <v>493</v>
      </c>
      <c r="B12" s="180" t="s">
        <v>444</v>
      </c>
      <c r="C12" s="181">
        <v>0</v>
      </c>
      <c r="D12" s="181">
        <v>0</v>
      </c>
      <c r="E12" s="181">
        <v>1000</v>
      </c>
      <c r="F12" s="181">
        <v>0</v>
      </c>
      <c r="G12" s="181">
        <v>0</v>
      </c>
    </row>
    <row r="13" spans="1:7" ht="24.95" customHeight="1" thickBot="1" x14ac:dyDescent="0.25">
      <c r="A13" s="179" t="s">
        <v>494</v>
      </c>
      <c r="B13" s="180" t="s">
        <v>446</v>
      </c>
      <c r="C13" s="181">
        <v>344.44</v>
      </c>
      <c r="D13" s="181">
        <v>0</v>
      </c>
      <c r="E13" s="181">
        <v>34936</v>
      </c>
      <c r="F13" s="181">
        <v>10142.840552781327</v>
      </c>
      <c r="G13" s="181">
        <v>0</v>
      </c>
    </row>
    <row r="14" spans="1:7" ht="24.95" customHeight="1" thickBot="1" x14ac:dyDescent="0.25">
      <c r="A14" s="179" t="s">
        <v>590</v>
      </c>
      <c r="B14" s="180" t="s">
        <v>591</v>
      </c>
      <c r="C14" s="181">
        <v>0</v>
      </c>
      <c r="D14" s="181">
        <v>0</v>
      </c>
      <c r="E14" s="181">
        <v>0</v>
      </c>
      <c r="F14" s="181">
        <v>0</v>
      </c>
      <c r="G14" s="181">
        <v>0</v>
      </c>
    </row>
    <row r="15" spans="1:7" ht="24.95" customHeight="1" thickBot="1" x14ac:dyDescent="0.25">
      <c r="A15" s="179" t="s">
        <v>495</v>
      </c>
      <c r="B15" s="180" t="s">
        <v>450</v>
      </c>
      <c r="C15" s="181">
        <v>149</v>
      </c>
      <c r="D15" s="181">
        <v>100000</v>
      </c>
      <c r="E15" s="181">
        <v>0</v>
      </c>
      <c r="F15" s="181">
        <v>0</v>
      </c>
      <c r="G15" s="181">
        <v>0</v>
      </c>
    </row>
    <row r="16" spans="1:7" ht="24.95" customHeight="1" thickBot="1" x14ac:dyDescent="0.25">
      <c r="A16" s="179" t="s">
        <v>496</v>
      </c>
      <c r="B16" s="180" t="s">
        <v>452</v>
      </c>
      <c r="C16" s="181">
        <v>0</v>
      </c>
      <c r="D16" s="181">
        <v>1300</v>
      </c>
      <c r="E16" s="181">
        <v>0</v>
      </c>
      <c r="F16" s="181">
        <v>0</v>
      </c>
      <c r="G16" s="181">
        <v>0</v>
      </c>
    </row>
    <row r="17" spans="1:7" ht="35.1" customHeight="1" thickBot="1" x14ac:dyDescent="0.25">
      <c r="A17" s="228" t="s">
        <v>463</v>
      </c>
      <c r="B17" s="228"/>
      <c r="C17" s="178">
        <v>11246298.220000001</v>
      </c>
      <c r="D17" s="178">
        <v>25543600</v>
      </c>
      <c r="E17" s="178">
        <v>12443169.619999995</v>
      </c>
      <c r="F17" s="178">
        <v>110.64235872628313</v>
      </c>
      <c r="G17" s="178">
        <v>48.713453154606221</v>
      </c>
    </row>
    <row r="18" spans="1:7" ht="24.95" customHeight="1" thickBot="1" x14ac:dyDescent="0.25">
      <c r="A18" s="179" t="s">
        <v>455</v>
      </c>
      <c r="B18" s="180" t="s">
        <v>488</v>
      </c>
      <c r="C18" s="181">
        <v>10002839.610000001</v>
      </c>
      <c r="D18" s="181">
        <v>22475700</v>
      </c>
      <c r="E18" s="181">
        <v>11402102.559999997</v>
      </c>
      <c r="F18" s="181">
        <v>113.98865726689378</v>
      </c>
      <c r="G18" s="181">
        <v>50.730800642471628</v>
      </c>
    </row>
    <row r="19" spans="1:7" ht="24.95" customHeight="1" thickBot="1" x14ac:dyDescent="0.25">
      <c r="A19" s="179" t="s">
        <v>490</v>
      </c>
      <c r="B19" s="180" t="s">
        <v>426</v>
      </c>
      <c r="C19" s="181">
        <v>0</v>
      </c>
      <c r="D19" s="181">
        <v>18300</v>
      </c>
      <c r="E19" s="181">
        <v>1492</v>
      </c>
      <c r="F19" s="181">
        <v>0</v>
      </c>
      <c r="G19" s="181">
        <v>8.1530054644808736</v>
      </c>
    </row>
    <row r="20" spans="1:7" ht="24.95" customHeight="1" thickBot="1" x14ac:dyDescent="0.25">
      <c r="A20" s="179" t="s">
        <v>491</v>
      </c>
      <c r="B20" s="180" t="s">
        <v>434</v>
      </c>
      <c r="C20" s="181">
        <v>405139.91999999987</v>
      </c>
      <c r="D20" s="181">
        <v>1073000</v>
      </c>
      <c r="E20" s="181">
        <v>395476.19000000006</v>
      </c>
      <c r="F20" s="181">
        <v>97.614717897954904</v>
      </c>
      <c r="G20" s="181">
        <v>36.857054054054061</v>
      </c>
    </row>
    <row r="21" spans="1:7" s="211" customFormat="1" ht="24.95" customHeight="1" thickBot="1" x14ac:dyDescent="0.25">
      <c r="A21" s="179" t="s">
        <v>588</v>
      </c>
      <c r="B21" s="180" t="s">
        <v>589</v>
      </c>
      <c r="C21" s="181">
        <v>0</v>
      </c>
      <c r="D21" s="181">
        <v>54000</v>
      </c>
      <c r="E21" s="181">
        <v>300</v>
      </c>
      <c r="F21" s="181">
        <v>0</v>
      </c>
      <c r="G21" s="181">
        <v>0.55555555555555558</v>
      </c>
    </row>
    <row r="22" spans="1:7" ht="24.95" customHeight="1" thickBot="1" x14ac:dyDescent="0.25">
      <c r="A22" s="179" t="s">
        <v>492</v>
      </c>
      <c r="B22" s="180" t="s">
        <v>440</v>
      </c>
      <c r="C22" s="181">
        <v>814286.31999999983</v>
      </c>
      <c r="D22" s="181">
        <v>1821300</v>
      </c>
      <c r="E22" s="181">
        <v>635533.97</v>
      </c>
      <c r="F22" s="181">
        <v>78.047973346770718</v>
      </c>
      <c r="G22" s="181">
        <v>34.894524240926813</v>
      </c>
    </row>
    <row r="23" spans="1:7" ht="24.95" customHeight="1" thickBot="1" x14ac:dyDescent="0.25">
      <c r="A23" s="179" t="s">
        <v>493</v>
      </c>
      <c r="B23" s="180" t="s">
        <v>444</v>
      </c>
      <c r="C23" s="181">
        <v>3495.2700000000041</v>
      </c>
      <c r="D23" s="181">
        <v>0</v>
      </c>
      <c r="E23" s="181">
        <v>709.69</v>
      </c>
      <c r="F23" s="181">
        <v>20.304296949877955</v>
      </c>
      <c r="G23" s="181">
        <v>0</v>
      </c>
    </row>
    <row r="24" spans="1:7" ht="24.95" customHeight="1" thickBot="1" x14ac:dyDescent="0.25">
      <c r="A24" s="179" t="s">
        <v>494</v>
      </c>
      <c r="B24" s="180" t="s">
        <v>446</v>
      </c>
      <c r="C24" s="181">
        <v>20388.099999999999</v>
      </c>
      <c r="D24" s="181">
        <v>0</v>
      </c>
      <c r="E24" s="181">
        <v>5198.3499999999995</v>
      </c>
      <c r="F24" s="181">
        <v>25.496981082101815</v>
      </c>
      <c r="G24" s="181">
        <v>0</v>
      </c>
    </row>
    <row r="25" spans="1:7" ht="24.95" customHeight="1" thickBot="1" x14ac:dyDescent="0.25">
      <c r="A25" s="179" t="s">
        <v>590</v>
      </c>
      <c r="B25" s="180" t="s">
        <v>591</v>
      </c>
      <c r="C25" s="181">
        <v>0</v>
      </c>
      <c r="D25" s="181">
        <v>0</v>
      </c>
      <c r="E25" s="181">
        <v>2356.86</v>
      </c>
      <c r="F25" s="181">
        <v>0</v>
      </c>
      <c r="G25" s="181">
        <v>0</v>
      </c>
    </row>
    <row r="26" spans="1:7" ht="24.95" customHeight="1" thickBot="1" x14ac:dyDescent="0.25">
      <c r="A26" s="179" t="s">
        <v>495</v>
      </c>
      <c r="B26" s="180" t="s">
        <v>450</v>
      </c>
      <c r="C26" s="181">
        <v>149</v>
      </c>
      <c r="D26" s="181">
        <v>100000</v>
      </c>
      <c r="E26" s="181">
        <v>0</v>
      </c>
      <c r="F26" s="181">
        <v>0</v>
      </c>
      <c r="G26" s="181">
        <v>0</v>
      </c>
    </row>
    <row r="27" spans="1:7" ht="24.95" customHeight="1" thickBot="1" x14ac:dyDescent="0.25">
      <c r="A27" s="179" t="s">
        <v>496</v>
      </c>
      <c r="B27" s="180" t="s">
        <v>452</v>
      </c>
      <c r="C27" s="181">
        <v>0</v>
      </c>
      <c r="D27" s="181">
        <v>1300</v>
      </c>
      <c r="E27" s="181">
        <v>0</v>
      </c>
      <c r="F27" s="181">
        <v>0</v>
      </c>
      <c r="G27" s="181">
        <v>0</v>
      </c>
    </row>
    <row r="28" spans="1:7" ht="35.1" customHeight="1" thickBot="1" x14ac:dyDescent="0.25">
      <c r="A28" s="229"/>
      <c r="B28" s="229"/>
      <c r="C28" s="182"/>
      <c r="D28" s="182"/>
      <c r="E28" s="182"/>
      <c r="F28" s="182"/>
      <c r="G28" s="182"/>
    </row>
  </sheetData>
  <mergeCells count="5">
    <mergeCell ref="A1:D1"/>
    <mergeCell ref="A2:G2"/>
    <mergeCell ref="A6:B6"/>
    <mergeCell ref="A17:B17"/>
    <mergeCell ref="A28:B28"/>
  </mergeCells>
  <pageMargins left="0.39370078740157483" right="0.39370078740157483" top="0.59055118110236227" bottom="0.59055118110236227" header="0" footer="0"/>
  <pageSetup paperSize="9" scale="82" orientation="portrait" r:id="rId1"/>
  <headerFooter alignWithMargins="0">
    <oddHeader>&amp;L&amp;"Arial,Bold"&amp;K04-023KNJIŽNICE GRADA ZAGREBA
STARČEVIĆEV TRG 6
OIB: 93571946376</oddHeader>
    <oddFooter xml:space="preserve">&amp;C&amp;8 Stranica 
&amp;"Arial,Bold"&amp;P&amp;"Arial,Regular"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zoomScale="90" zoomScaleNormal="90" workbookViewId="0">
      <pane ySplit="4" topLeftCell="A5" activePane="bottomLeft" state="frozen"/>
      <selection activeCell="F1" sqref="F1"/>
      <selection pane="bottomLeft" sqref="A1:G13"/>
    </sheetView>
  </sheetViews>
  <sheetFormatPr defaultColWidth="8.7109375" defaultRowHeight="12.75" x14ac:dyDescent="0.2"/>
  <cols>
    <col min="1" max="1" width="10.5703125" style="25" customWidth="1"/>
    <col min="2" max="2" width="45.7109375" style="25" customWidth="1"/>
    <col min="3" max="5" width="13.5703125" style="25" customWidth="1"/>
    <col min="6" max="7" width="10.5703125" style="90" customWidth="1"/>
    <col min="8" max="14" width="8.7109375" style="25" customWidth="1"/>
    <col min="15" max="16384" width="8.7109375" style="25"/>
  </cols>
  <sheetData>
    <row r="1" spans="1:7" ht="20.100000000000001" customHeight="1" x14ac:dyDescent="0.2">
      <c r="A1" s="217"/>
      <c r="B1" s="217"/>
      <c r="C1" s="217"/>
      <c r="D1" s="217"/>
    </row>
    <row r="2" spans="1:7" ht="39.950000000000003" customHeight="1" x14ac:dyDescent="0.2">
      <c r="A2" s="223" t="s">
        <v>576</v>
      </c>
      <c r="B2" s="223"/>
      <c r="C2" s="223"/>
      <c r="D2" s="223"/>
      <c r="E2" s="223"/>
      <c r="F2" s="223"/>
      <c r="G2" s="223"/>
    </row>
    <row r="3" spans="1:7" ht="20.100000000000001" customHeight="1" thickBot="1" x14ac:dyDescent="0.25">
      <c r="E3" s="83"/>
      <c r="F3" s="91"/>
      <c r="G3" s="91"/>
    </row>
    <row r="4" spans="1:7" ht="35.1" customHeight="1" thickBot="1" x14ac:dyDescent="0.25">
      <c r="A4" s="80" t="s">
        <v>487</v>
      </c>
      <c r="B4" s="80" t="s">
        <v>497</v>
      </c>
      <c r="C4" s="80" t="s">
        <v>571</v>
      </c>
      <c r="D4" s="80" t="s">
        <v>572</v>
      </c>
      <c r="E4" s="80" t="s">
        <v>580</v>
      </c>
      <c r="F4" s="92" t="s">
        <v>573</v>
      </c>
      <c r="G4" s="92" t="s">
        <v>574</v>
      </c>
    </row>
    <row r="5" spans="1:7" ht="18" customHeight="1" thickBot="1" x14ac:dyDescent="0.25">
      <c r="A5" s="81">
        <v>1</v>
      </c>
      <c r="B5" s="81">
        <v>2</v>
      </c>
      <c r="C5" s="81">
        <v>3</v>
      </c>
      <c r="D5" s="81">
        <v>4</v>
      </c>
      <c r="E5" s="81">
        <v>5</v>
      </c>
      <c r="F5" s="81">
        <v>6</v>
      </c>
      <c r="G5" s="81">
        <v>7</v>
      </c>
    </row>
    <row r="6" spans="1:7" ht="24.95" customHeight="1" x14ac:dyDescent="0.2">
      <c r="A6" s="107" t="s">
        <v>473</v>
      </c>
      <c r="B6" s="108" t="s">
        <v>474</v>
      </c>
      <c r="C6" s="109">
        <v>11246298.220000003</v>
      </c>
      <c r="D6" s="109">
        <v>25543600</v>
      </c>
      <c r="E6" s="109">
        <v>12443169.619999997</v>
      </c>
      <c r="F6" s="109">
        <v>110.64235872628313</v>
      </c>
      <c r="G6" s="109">
        <v>48.713453154606228</v>
      </c>
    </row>
    <row r="7" spans="1:7" ht="24.95" customHeight="1" x14ac:dyDescent="0.2">
      <c r="A7" s="99" t="s">
        <v>475</v>
      </c>
      <c r="B7" s="100" t="s">
        <v>476</v>
      </c>
      <c r="C7" s="101"/>
      <c r="D7" s="101"/>
      <c r="E7" s="101"/>
      <c r="F7" s="102"/>
      <c r="G7" s="102"/>
    </row>
    <row r="8" spans="1:7" ht="24.95" customHeight="1" x14ac:dyDescent="0.2">
      <c r="A8" s="99" t="s">
        <v>477</v>
      </c>
      <c r="B8" s="100" t="s">
        <v>478</v>
      </c>
      <c r="C8" s="101">
        <v>11246298.220000003</v>
      </c>
      <c r="D8" s="101">
        <v>25543600</v>
      </c>
      <c r="E8" s="101">
        <v>12443169.619999997</v>
      </c>
      <c r="F8" s="101">
        <v>110.64235872628313</v>
      </c>
      <c r="G8" s="101">
        <v>48.713453154606228</v>
      </c>
    </row>
    <row r="9" spans="1:7" ht="24.95" customHeight="1" x14ac:dyDescent="0.2">
      <c r="A9" s="99" t="s">
        <v>479</v>
      </c>
      <c r="B9" s="100" t="s">
        <v>480</v>
      </c>
      <c r="C9" s="101"/>
      <c r="D9" s="101"/>
      <c r="E9" s="101"/>
      <c r="F9" s="102"/>
      <c r="G9" s="102"/>
    </row>
    <row r="10" spans="1:7" ht="24.95" customHeight="1" x14ac:dyDescent="0.2">
      <c r="A10" s="99" t="s">
        <v>481</v>
      </c>
      <c r="B10" s="100" t="s">
        <v>482</v>
      </c>
      <c r="C10" s="101"/>
      <c r="D10" s="101"/>
      <c r="E10" s="101"/>
      <c r="F10" s="102"/>
      <c r="G10" s="102"/>
    </row>
    <row r="11" spans="1:7" ht="24.95" customHeight="1" x14ac:dyDescent="0.2">
      <c r="A11" s="99" t="s">
        <v>483</v>
      </c>
      <c r="B11" s="100" t="s">
        <v>484</v>
      </c>
      <c r="C11" s="101"/>
      <c r="D11" s="101"/>
      <c r="E11" s="101"/>
      <c r="F11" s="102"/>
      <c r="G11" s="102"/>
    </row>
    <row r="12" spans="1:7" ht="35.1" customHeight="1" thickBot="1" x14ac:dyDescent="0.25">
      <c r="A12" s="103" t="s">
        <v>485</v>
      </c>
      <c r="B12" s="104" t="s">
        <v>486</v>
      </c>
      <c r="C12" s="105"/>
      <c r="D12" s="105"/>
      <c r="E12" s="105"/>
      <c r="F12" s="106"/>
      <c r="G12" s="106"/>
    </row>
    <row r="13" spans="1:7" ht="35.1" customHeight="1" thickBot="1" x14ac:dyDescent="0.25">
      <c r="A13" s="224"/>
      <c r="B13" s="224"/>
      <c r="C13" s="119"/>
      <c r="D13" s="119"/>
      <c r="E13" s="119"/>
      <c r="F13" s="119"/>
      <c r="G13" s="119"/>
    </row>
  </sheetData>
  <mergeCells count="3">
    <mergeCell ref="A13:B13"/>
    <mergeCell ref="A1:D1"/>
    <mergeCell ref="A2:G2"/>
  </mergeCells>
  <conditionalFormatting sqref="C6:E12">
    <cfRule type="cellIs" dxfId="2" priority="3" operator="equal">
      <formula>0</formula>
    </cfRule>
  </conditionalFormatting>
  <conditionalFormatting sqref="F6:G6">
    <cfRule type="cellIs" dxfId="1" priority="2" operator="equal">
      <formula>0</formula>
    </cfRule>
  </conditionalFormatting>
  <conditionalFormatting sqref="F8:G8">
    <cfRule type="cellIs" dxfId="0" priority="1" operator="equal">
      <formula>0</formula>
    </cfRule>
  </conditionalFormatting>
  <pageMargins left="0.39370078740157483" right="0.39370078740157483" top="0.59055118110236227" bottom="0.59055118110236227" header="0" footer="0"/>
  <pageSetup paperSize="9" scale="82" orientation="portrait" r:id="rId1"/>
  <headerFooter alignWithMargins="0">
    <oddHeader>&amp;L&amp;"Arial,Bold"&amp;K04-023KNJIŽNICE GRADA ZAGREBA
STARČEVIĆEV TRG 6
OIB: 93571946376</oddHeader>
    <oddFooter xml:space="preserve">&amp;C&amp;8 Stranica 
&amp;"Arial,Bold"&amp;P&amp;"Arial,Regular"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7"/>
  <sheetViews>
    <sheetView showGridLines="0" topLeftCell="H1" zoomScaleNormal="100" workbookViewId="0">
      <pane ySplit="4" topLeftCell="A5" activePane="bottomLeft" state="frozen"/>
      <selection activeCell="F1" sqref="F1"/>
      <selection pane="bottomLeft" activeCell="W69" sqref="W69"/>
    </sheetView>
  </sheetViews>
  <sheetFormatPr defaultColWidth="8.7109375" defaultRowHeight="12.75" outlineLevelRow="1" outlineLevelCol="1" x14ac:dyDescent="0.2"/>
  <cols>
    <col min="1" max="1" width="20.7109375" style="25" hidden="1" customWidth="1" outlineLevel="1"/>
    <col min="2" max="2" width="8.7109375" style="25" hidden="1" customWidth="1" outlineLevel="1"/>
    <col min="3" max="3" width="9.28515625" style="26" hidden="1" customWidth="1" outlineLevel="1"/>
    <col min="4" max="4" width="3.7109375" style="30" hidden="1" customWidth="1" outlineLevel="1"/>
    <col min="5" max="5" width="8.7109375" style="30" hidden="1" customWidth="1" outlineLevel="1"/>
    <col min="6" max="6" width="10.28515625" style="30" hidden="1" customWidth="1" outlineLevel="1"/>
    <col min="7" max="7" width="12.5703125" style="26" hidden="1" customWidth="1" outlineLevel="1"/>
    <col min="8" max="8" width="10.5703125" style="25" customWidth="1" collapsed="1"/>
    <col min="9" max="9" width="45.7109375" style="25" customWidth="1"/>
    <col min="10" max="12" width="13.5703125" style="25" customWidth="1"/>
    <col min="13" max="14" width="10.5703125" style="90" customWidth="1"/>
    <col min="15" max="18" width="13.7109375" style="25" hidden="1" customWidth="1" outlineLevel="1"/>
    <col min="19" max="19" width="13.7109375" style="25" customWidth="1" collapsed="1"/>
    <col min="20" max="20" width="15.7109375" style="25" hidden="1" customWidth="1"/>
    <col min="21" max="21" width="8.7109375" style="25" customWidth="1"/>
    <col min="22" max="22" width="9.85546875" style="25" bestFit="1" customWidth="1"/>
    <col min="23" max="26" width="8.7109375" style="25" customWidth="1"/>
    <col min="27" max="16384" width="8.7109375" style="25"/>
  </cols>
  <sheetData>
    <row r="1" spans="2:20" ht="20.100000000000001" customHeight="1" x14ac:dyDescent="0.2">
      <c r="H1" s="217"/>
      <c r="I1" s="217"/>
      <c r="J1" s="217"/>
      <c r="K1" s="217"/>
    </row>
    <row r="2" spans="2:20" ht="20.100000000000001" customHeight="1" x14ac:dyDescent="0.2">
      <c r="H2" s="223" t="s">
        <v>575</v>
      </c>
      <c r="I2" s="223"/>
      <c r="J2" s="223"/>
      <c r="K2" s="223"/>
      <c r="L2" s="223"/>
      <c r="M2" s="223"/>
      <c r="N2" s="223"/>
    </row>
    <row r="3" spans="2:20" ht="20.100000000000001" customHeight="1" thickBot="1" x14ac:dyDescent="0.25">
      <c r="L3" s="83"/>
      <c r="M3" s="91"/>
      <c r="N3" s="91"/>
    </row>
    <row r="4" spans="2:20" ht="35.1" customHeight="1" thickBot="1" x14ac:dyDescent="0.25">
      <c r="H4" s="80" t="s">
        <v>3</v>
      </c>
      <c r="I4" s="80" t="s">
        <v>5</v>
      </c>
      <c r="J4" s="80" t="s">
        <v>571</v>
      </c>
      <c r="K4" s="80" t="s">
        <v>572</v>
      </c>
      <c r="L4" s="80" t="s">
        <v>580</v>
      </c>
      <c r="M4" s="92" t="s">
        <v>573</v>
      </c>
      <c r="N4" s="92" t="s">
        <v>574</v>
      </c>
    </row>
    <row r="5" spans="2:20" ht="18" customHeight="1" thickBot="1" x14ac:dyDescent="0.25">
      <c r="H5" s="81">
        <v>1</v>
      </c>
      <c r="I5" s="81">
        <v>2</v>
      </c>
      <c r="J5" s="81">
        <v>3</v>
      </c>
      <c r="K5" s="81">
        <v>4</v>
      </c>
      <c r="L5" s="81">
        <v>5</v>
      </c>
      <c r="M5" s="81">
        <v>6</v>
      </c>
      <c r="N5" s="81">
        <v>7</v>
      </c>
    </row>
    <row r="6" spans="2:20" ht="35.1" customHeight="1" collapsed="1" thickBot="1" x14ac:dyDescent="0.25">
      <c r="H6" s="225" t="s">
        <v>468</v>
      </c>
      <c r="I6" s="225"/>
      <c r="J6" s="82">
        <v>11509928.459999999</v>
      </c>
      <c r="K6" s="82">
        <v>25543600</v>
      </c>
      <c r="L6" s="82">
        <v>12779679.130000001</v>
      </c>
      <c r="M6" s="82">
        <v>111.03178594387199</v>
      </c>
      <c r="N6" s="82">
        <v>50.030845808734867</v>
      </c>
    </row>
    <row r="7" spans="2:20" ht="24.95" customHeight="1" x14ac:dyDescent="0.2">
      <c r="H7" s="230" t="s">
        <v>56</v>
      </c>
      <c r="I7" s="230"/>
      <c r="J7" s="79">
        <v>9882152.6099999994</v>
      </c>
      <c r="K7" s="79">
        <v>22475700</v>
      </c>
      <c r="L7" s="79">
        <v>11030828.15</v>
      </c>
      <c r="M7" s="79">
        <v>111.62373811994794</v>
      </c>
      <c r="N7" s="79">
        <v>49.078908109647315</v>
      </c>
    </row>
    <row r="8" spans="2:20" ht="30" hidden="1" customHeight="1" outlineLevel="1" x14ac:dyDescent="0.2">
      <c r="B8" s="30" t="s">
        <v>469</v>
      </c>
      <c r="D8" s="30">
        <v>112</v>
      </c>
      <c r="E8" s="30" t="str">
        <f t="shared" ref="E8" si="0">LEFT(H8,1)</f>
        <v>6</v>
      </c>
      <c r="F8" s="30" t="str">
        <f t="shared" ref="F8" si="1">LEFT(H8,2)</f>
        <v>67</v>
      </c>
      <c r="G8" s="26" t="str">
        <f t="shared" ref="G8" si="2">LEFT(H8,3)</f>
        <v>671</v>
      </c>
      <c r="H8" s="86" t="s">
        <v>464</v>
      </c>
      <c r="I8" s="86" t="s">
        <v>466</v>
      </c>
      <c r="J8" s="87">
        <v>9232156.6099999994</v>
      </c>
      <c r="K8" s="87">
        <v>20267900</v>
      </c>
      <c r="L8" s="87">
        <v>10065397.220000001</v>
      </c>
      <c r="M8" s="87">
        <v>109.02541676012581</v>
      </c>
      <c r="N8" s="87">
        <v>49.661766734590167</v>
      </c>
      <c r="O8" s="31"/>
      <c r="T8" s="25" t="str">
        <f>CONCATENATE(C8,D8,H8)</f>
        <v>1126711</v>
      </c>
    </row>
    <row r="9" spans="2:20" ht="30" hidden="1" customHeight="1" outlineLevel="1" x14ac:dyDescent="0.2">
      <c r="B9" s="30" t="s">
        <v>469</v>
      </c>
      <c r="D9" s="30">
        <v>112</v>
      </c>
      <c r="E9" s="30" t="str">
        <f t="shared" ref="E9" si="3">LEFT(H9,1)</f>
        <v>6</v>
      </c>
      <c r="F9" s="30" t="str">
        <f t="shared" ref="F9" si="4">LEFT(H9,2)</f>
        <v>67</v>
      </c>
      <c r="G9" s="26" t="str">
        <f t="shared" ref="G9" si="5">LEFT(H9,3)</f>
        <v>671</v>
      </c>
      <c r="H9" s="86" t="s">
        <v>465</v>
      </c>
      <c r="I9" s="86" t="s">
        <v>467</v>
      </c>
      <c r="J9" s="87">
        <v>649996</v>
      </c>
      <c r="K9" s="87">
        <v>2207800</v>
      </c>
      <c r="L9" s="87">
        <v>965430.93</v>
      </c>
      <c r="M9" s="87">
        <v>148.52874940768868</v>
      </c>
      <c r="N9" s="87">
        <v>43.728187788748983</v>
      </c>
      <c r="O9" s="31"/>
      <c r="T9" s="25" t="str">
        <f t="shared" ref="T9:T73" si="6">CONCATENATE(C9,D9,H9)</f>
        <v>1126712</v>
      </c>
    </row>
    <row r="10" spans="2:20" ht="24.95" customHeight="1" collapsed="1" x14ac:dyDescent="0.2">
      <c r="B10" s="30"/>
      <c r="H10" s="230" t="s">
        <v>125</v>
      </c>
      <c r="I10" s="230"/>
      <c r="J10" s="79">
        <v>14166.58</v>
      </c>
      <c r="K10" s="79">
        <v>18300</v>
      </c>
      <c r="L10" s="79">
        <v>18009.169999999998</v>
      </c>
      <c r="M10" s="79">
        <v>127.12433064296391</v>
      </c>
      <c r="N10" s="79">
        <v>98.410765027322398</v>
      </c>
    </row>
    <row r="11" spans="2:20" ht="20.100000000000001" hidden="1" customHeight="1" outlineLevel="1" x14ac:dyDescent="0.2">
      <c r="B11" s="30" t="s">
        <v>469</v>
      </c>
      <c r="D11" s="30">
        <v>311</v>
      </c>
      <c r="E11" s="30" t="str">
        <f t="shared" ref="E11:E12" si="7">LEFT(H11,1)</f>
        <v>6</v>
      </c>
      <c r="F11" s="30" t="str">
        <f t="shared" ref="F11:F12" si="8">LEFT(H11,2)</f>
        <v>64</v>
      </c>
      <c r="G11" s="26" t="str">
        <f t="shared" ref="G11:G12" si="9">LEFT(H11,3)</f>
        <v>641</v>
      </c>
      <c r="H11" s="86" t="s">
        <v>280</v>
      </c>
      <c r="I11" s="86" t="s">
        <v>282</v>
      </c>
      <c r="J11" s="87"/>
      <c r="K11" s="87">
        <v>100</v>
      </c>
      <c r="L11" s="87"/>
      <c r="M11" s="87">
        <v>0</v>
      </c>
      <c r="N11" s="87">
        <v>0</v>
      </c>
      <c r="O11" s="31"/>
      <c r="T11" s="25" t="str">
        <f t="shared" si="6"/>
        <v>3116413</v>
      </c>
    </row>
    <row r="12" spans="2:20" ht="30" hidden="1" customHeight="1" outlineLevel="1" x14ac:dyDescent="0.2">
      <c r="B12" s="30" t="s">
        <v>469</v>
      </c>
      <c r="D12" s="30">
        <v>311</v>
      </c>
      <c r="E12" s="30" t="str">
        <f t="shared" si="7"/>
        <v>6</v>
      </c>
      <c r="F12" s="30" t="str">
        <f t="shared" si="8"/>
        <v>64</v>
      </c>
      <c r="G12" s="26" t="str">
        <f t="shared" si="9"/>
        <v>641</v>
      </c>
      <c r="H12" s="86" t="s">
        <v>283</v>
      </c>
      <c r="I12" s="86" t="s">
        <v>285</v>
      </c>
      <c r="J12" s="87"/>
      <c r="K12" s="87">
        <v>100</v>
      </c>
      <c r="L12" s="87"/>
      <c r="M12" s="87">
        <v>0</v>
      </c>
      <c r="N12" s="87">
        <v>0</v>
      </c>
      <c r="O12" s="31"/>
      <c r="T12" s="25" t="str">
        <f t="shared" si="6"/>
        <v>3116415</v>
      </c>
    </row>
    <row r="13" spans="2:20" ht="20.100000000000001" hidden="1" customHeight="1" outlineLevel="1" x14ac:dyDescent="0.2">
      <c r="B13" s="30" t="s">
        <v>469</v>
      </c>
      <c r="D13" s="30">
        <v>311</v>
      </c>
      <c r="E13" s="30" t="str">
        <f t="shared" ref="E13:E15" si="10">LEFT(H13,1)</f>
        <v>6</v>
      </c>
      <c r="F13" s="30" t="str">
        <f t="shared" ref="F13:F15" si="11">LEFT(H13,2)</f>
        <v>64</v>
      </c>
      <c r="G13" s="26" t="str">
        <f t="shared" ref="G13:G15" si="12">LEFT(H13,3)</f>
        <v>641</v>
      </c>
      <c r="H13" s="86" t="s">
        <v>286</v>
      </c>
      <c r="I13" s="86" t="s">
        <v>288</v>
      </c>
      <c r="J13" s="87">
        <v>9576</v>
      </c>
      <c r="K13" s="87">
        <v>9600</v>
      </c>
      <c r="L13" s="87">
        <v>8686.7999999999993</v>
      </c>
      <c r="M13" s="87">
        <v>90.714285714285708</v>
      </c>
      <c r="N13" s="87">
        <v>90.487499999999983</v>
      </c>
      <c r="O13" s="31"/>
      <c r="T13" s="25" t="str">
        <f t="shared" si="6"/>
        <v>3116416</v>
      </c>
    </row>
    <row r="14" spans="2:20" ht="20.100000000000001" hidden="1" customHeight="1" outlineLevel="1" x14ac:dyDescent="0.2">
      <c r="B14" s="30" t="s">
        <v>469</v>
      </c>
      <c r="D14" s="30">
        <v>311</v>
      </c>
      <c r="E14" s="30" t="str">
        <f t="shared" ref="E14" si="13">LEFT(H14,1)</f>
        <v>6</v>
      </c>
      <c r="F14" s="30" t="str">
        <f t="shared" ref="F14" si="14">LEFT(H14,2)</f>
        <v>66</v>
      </c>
      <c r="G14" s="26" t="str">
        <f t="shared" ref="G14" si="15">LEFT(H14,3)</f>
        <v>661</v>
      </c>
      <c r="H14" s="86" t="s">
        <v>289</v>
      </c>
      <c r="I14" s="86" t="s">
        <v>291</v>
      </c>
      <c r="J14" s="87">
        <v>4304.74</v>
      </c>
      <c r="K14" s="87">
        <v>8500</v>
      </c>
      <c r="L14" s="87">
        <v>5322.99</v>
      </c>
      <c r="M14" s="87">
        <v>123.65415797469765</v>
      </c>
      <c r="N14" s="87">
        <v>62.623411764705885</v>
      </c>
      <c r="O14" s="31"/>
      <c r="T14" s="25" t="str">
        <f t="shared" si="6"/>
        <v>3116615</v>
      </c>
    </row>
    <row r="15" spans="2:20" ht="20.100000000000001" hidden="1" customHeight="1" outlineLevel="1" x14ac:dyDescent="0.2">
      <c r="B15" s="30" t="s">
        <v>469</v>
      </c>
      <c r="D15" s="30">
        <v>311</v>
      </c>
      <c r="E15" s="30" t="str">
        <f t="shared" si="10"/>
        <v>6</v>
      </c>
      <c r="F15" s="30" t="str">
        <f t="shared" si="11"/>
        <v>68</v>
      </c>
      <c r="G15" s="26" t="str">
        <f t="shared" si="12"/>
        <v>683</v>
      </c>
      <c r="H15" s="86" t="s">
        <v>292</v>
      </c>
      <c r="I15" s="86" t="s">
        <v>294</v>
      </c>
      <c r="J15" s="87">
        <v>285.83999999999997</v>
      </c>
      <c r="K15" s="87"/>
      <c r="L15" s="87">
        <v>3999.38</v>
      </c>
      <c r="M15" s="87">
        <v>1399.1673663588022</v>
      </c>
      <c r="N15" s="87">
        <v>0</v>
      </c>
      <c r="O15" s="31"/>
      <c r="T15" s="25" t="str">
        <f t="shared" si="6"/>
        <v>3116831</v>
      </c>
    </row>
    <row r="16" spans="2:20" ht="24.95" customHeight="1" collapsed="1" x14ac:dyDescent="0.2">
      <c r="B16" s="30"/>
      <c r="H16" s="230" t="s">
        <v>129</v>
      </c>
      <c r="I16" s="230"/>
      <c r="J16" s="79">
        <v>516201.58</v>
      </c>
      <c r="K16" s="79">
        <v>1073000</v>
      </c>
      <c r="L16" s="79">
        <v>542177.55000000005</v>
      </c>
      <c r="M16" s="79">
        <v>105.03213686405222</v>
      </c>
      <c r="N16" s="79">
        <v>50.529128611369998</v>
      </c>
    </row>
    <row r="17" spans="2:20" ht="20.100000000000001" hidden="1" customHeight="1" outlineLevel="1" x14ac:dyDescent="0.2">
      <c r="B17" s="30" t="s">
        <v>469</v>
      </c>
      <c r="D17" s="30">
        <v>431</v>
      </c>
      <c r="E17" s="30" t="str">
        <f t="shared" ref="E17:E18" si="16">LEFT(H17,1)</f>
        <v>6</v>
      </c>
      <c r="F17" s="30" t="str">
        <f t="shared" ref="F17:F18" si="17">LEFT(H17,2)</f>
        <v>65</v>
      </c>
      <c r="G17" s="26" t="str">
        <f t="shared" ref="G17:G18" si="18">LEFT(H17,3)</f>
        <v>652</v>
      </c>
      <c r="H17" s="86" t="s">
        <v>295</v>
      </c>
      <c r="I17" s="86" t="s">
        <v>297</v>
      </c>
      <c r="J17" s="87">
        <v>516201.58</v>
      </c>
      <c r="K17" s="87">
        <v>1073000</v>
      </c>
      <c r="L17" s="87">
        <v>542177.55000000005</v>
      </c>
      <c r="M17" s="87">
        <v>105.03213686405222</v>
      </c>
      <c r="N17" s="87">
        <v>50.529128611369998</v>
      </c>
      <c r="O17" s="31"/>
      <c r="T17" s="25" t="str">
        <f t="shared" si="6"/>
        <v>4316526</v>
      </c>
    </row>
    <row r="18" spans="2:20" ht="20.100000000000001" hidden="1" customHeight="1" outlineLevel="1" x14ac:dyDescent="0.2">
      <c r="B18" s="30" t="s">
        <v>469</v>
      </c>
      <c r="D18" s="30">
        <v>431</v>
      </c>
      <c r="E18" s="30" t="str">
        <f t="shared" si="16"/>
        <v>9</v>
      </c>
      <c r="F18" s="30" t="str">
        <f t="shared" si="17"/>
        <v>92</v>
      </c>
      <c r="G18" s="26" t="str">
        <f t="shared" si="18"/>
        <v>922</v>
      </c>
      <c r="H18" s="86" t="s">
        <v>298</v>
      </c>
      <c r="I18" s="86" t="s">
        <v>300</v>
      </c>
      <c r="J18" s="87"/>
      <c r="K18" s="87"/>
      <c r="L18" s="87"/>
      <c r="M18" s="87">
        <v>0</v>
      </c>
      <c r="N18" s="87">
        <v>0</v>
      </c>
      <c r="O18" s="31"/>
      <c r="T18" s="25" t="str">
        <f t="shared" si="6"/>
        <v>4319221</v>
      </c>
    </row>
    <row r="19" spans="2:20" ht="24.95" customHeight="1" collapsed="1" x14ac:dyDescent="0.2">
      <c r="B19" s="30"/>
      <c r="H19" s="230" t="s">
        <v>581</v>
      </c>
      <c r="I19" s="230"/>
      <c r="J19" s="79">
        <v>0</v>
      </c>
      <c r="K19" s="79">
        <v>54000</v>
      </c>
      <c r="L19" s="79">
        <v>0</v>
      </c>
      <c r="M19" s="79">
        <v>0</v>
      </c>
      <c r="N19" s="79">
        <v>0</v>
      </c>
    </row>
    <row r="20" spans="2:20" ht="20.100000000000001" hidden="1" customHeight="1" outlineLevel="1" x14ac:dyDescent="0.2">
      <c r="B20" s="30" t="s">
        <v>469</v>
      </c>
      <c r="D20" s="30">
        <v>510</v>
      </c>
      <c r="E20" s="30" t="str">
        <f t="shared" ref="E20:E23" si="19">LEFT(H20,1)</f>
        <v>6</v>
      </c>
      <c r="F20" s="30" t="str">
        <f t="shared" ref="F20:F23" si="20">LEFT(H20,2)</f>
        <v>63</v>
      </c>
      <c r="G20" s="26" t="str">
        <f t="shared" ref="G20:G23" si="21">LEFT(H20,3)</f>
        <v>631</v>
      </c>
      <c r="H20" s="212" t="s">
        <v>582</v>
      </c>
      <c r="I20" s="86" t="s">
        <v>583</v>
      </c>
      <c r="J20" s="87"/>
      <c r="K20" s="87"/>
      <c r="L20" s="87"/>
      <c r="M20" s="87">
        <v>0</v>
      </c>
      <c r="N20" s="87">
        <v>0</v>
      </c>
      <c r="O20" s="31"/>
      <c r="T20" s="25" t="str">
        <f t="shared" si="6"/>
        <v>5106311</v>
      </c>
    </row>
    <row r="21" spans="2:20" ht="20.100000000000001" hidden="1" customHeight="1" outlineLevel="1" x14ac:dyDescent="0.2">
      <c r="B21" s="30" t="s">
        <v>469</v>
      </c>
      <c r="D21" s="30">
        <v>510</v>
      </c>
      <c r="E21" s="30" t="str">
        <f t="shared" si="19"/>
        <v>6</v>
      </c>
      <c r="F21" s="30" t="str">
        <f t="shared" si="20"/>
        <v>63</v>
      </c>
      <c r="G21" s="26" t="str">
        <f t="shared" si="21"/>
        <v>632</v>
      </c>
      <c r="H21" s="212" t="s">
        <v>584</v>
      </c>
      <c r="I21" s="86" t="s">
        <v>585</v>
      </c>
      <c r="J21" s="87"/>
      <c r="K21" s="87">
        <v>54000</v>
      </c>
      <c r="L21" s="87"/>
      <c r="M21" s="87">
        <v>0</v>
      </c>
      <c r="N21" s="87">
        <v>0</v>
      </c>
      <c r="O21" s="31"/>
      <c r="T21" s="25" t="str">
        <f t="shared" si="6"/>
        <v>5106323</v>
      </c>
    </row>
    <row r="22" spans="2:20" ht="20.100000000000001" hidden="1" customHeight="1" outlineLevel="1" x14ac:dyDescent="0.2">
      <c r="B22" s="30" t="s">
        <v>469</v>
      </c>
      <c r="D22" s="30">
        <v>510</v>
      </c>
      <c r="E22" s="30" t="str">
        <f t="shared" ref="E22" si="22">LEFT(H22,1)</f>
        <v>6</v>
      </c>
      <c r="F22" s="30" t="str">
        <f t="shared" ref="F22" si="23">LEFT(H22,2)</f>
        <v>63</v>
      </c>
      <c r="G22" s="26" t="str">
        <f t="shared" ref="G22" si="24">LEFT(H22,3)</f>
        <v>638</v>
      </c>
      <c r="H22" s="212" t="s">
        <v>314</v>
      </c>
      <c r="I22" s="86" t="s">
        <v>316</v>
      </c>
      <c r="J22" s="87"/>
      <c r="K22" s="87"/>
      <c r="L22" s="87"/>
      <c r="M22" s="87">
        <v>0</v>
      </c>
      <c r="N22" s="87">
        <v>0</v>
      </c>
      <c r="O22" s="31"/>
      <c r="T22" s="25" t="str">
        <f t="shared" si="6"/>
        <v>5106381</v>
      </c>
    </row>
    <row r="23" spans="2:20" ht="20.100000000000001" hidden="1" customHeight="1" outlineLevel="1" x14ac:dyDescent="0.2">
      <c r="B23" s="30" t="s">
        <v>469</v>
      </c>
      <c r="D23" s="30">
        <v>510</v>
      </c>
      <c r="E23" s="30" t="str">
        <f t="shared" si="19"/>
        <v>9</v>
      </c>
      <c r="F23" s="30" t="str">
        <f t="shared" si="20"/>
        <v>92</v>
      </c>
      <c r="G23" s="26" t="str">
        <f t="shared" si="21"/>
        <v>922</v>
      </c>
      <c r="H23" s="86" t="s">
        <v>298</v>
      </c>
      <c r="I23" s="86" t="s">
        <v>300</v>
      </c>
      <c r="J23" s="87"/>
      <c r="K23" s="87"/>
      <c r="L23" s="87"/>
      <c r="M23" s="87">
        <v>0</v>
      </c>
      <c r="N23" s="87">
        <v>0</v>
      </c>
      <c r="O23" s="31"/>
      <c r="T23" s="25" t="str">
        <f t="shared" si="6"/>
        <v>5109221</v>
      </c>
    </row>
    <row r="24" spans="2:20" ht="24.95" customHeight="1" collapsed="1" x14ac:dyDescent="0.2">
      <c r="B24" s="30"/>
      <c r="H24" s="230" t="s">
        <v>26</v>
      </c>
      <c r="I24" s="230"/>
      <c r="J24" s="79">
        <v>1096914.25</v>
      </c>
      <c r="K24" s="79">
        <v>1821300</v>
      </c>
      <c r="L24" s="79">
        <v>1152728.26</v>
      </c>
      <c r="M24" s="79">
        <v>105.0882746759831</v>
      </c>
      <c r="N24" s="79">
        <v>63.291509361445122</v>
      </c>
    </row>
    <row r="25" spans="2:20" ht="30" hidden="1" customHeight="1" outlineLevel="1" x14ac:dyDescent="0.2">
      <c r="B25" s="30" t="s">
        <v>469</v>
      </c>
      <c r="D25" s="30">
        <v>521</v>
      </c>
      <c r="E25" s="30" t="str">
        <f t="shared" ref="E25:E26" si="25">LEFT(H25,1)</f>
        <v>6</v>
      </c>
      <c r="F25" s="30" t="str">
        <f t="shared" ref="F25:F26" si="26">LEFT(H25,2)</f>
        <v>63</v>
      </c>
      <c r="G25" s="26" t="str">
        <f t="shared" ref="G25:G26" si="27">LEFT(H25,3)</f>
        <v>636</v>
      </c>
      <c r="H25" s="86" t="s">
        <v>301</v>
      </c>
      <c r="I25" s="86" t="s">
        <v>303</v>
      </c>
      <c r="J25" s="87">
        <v>170598.82</v>
      </c>
      <c r="K25" s="87">
        <v>939300</v>
      </c>
      <c r="L25" s="87">
        <v>540549.5</v>
      </c>
      <c r="M25" s="87">
        <v>316.85418457173381</v>
      </c>
      <c r="N25" s="87">
        <v>57.548120941126371</v>
      </c>
      <c r="O25" s="31"/>
      <c r="T25" s="25" t="str">
        <f t="shared" si="6"/>
        <v>5216361</v>
      </c>
    </row>
    <row r="26" spans="2:20" ht="30" hidden="1" customHeight="1" outlineLevel="1" x14ac:dyDescent="0.2">
      <c r="B26" s="30" t="s">
        <v>469</v>
      </c>
      <c r="D26" s="30">
        <v>521</v>
      </c>
      <c r="E26" s="30" t="str">
        <f t="shared" si="25"/>
        <v>6</v>
      </c>
      <c r="F26" s="30" t="str">
        <f t="shared" si="26"/>
        <v>63</v>
      </c>
      <c r="G26" s="26" t="str">
        <f t="shared" si="27"/>
        <v>636</v>
      </c>
      <c r="H26" s="86" t="s">
        <v>304</v>
      </c>
      <c r="I26" s="86" t="s">
        <v>306</v>
      </c>
      <c r="J26" s="87">
        <v>926315.42999999993</v>
      </c>
      <c r="K26" s="87">
        <v>882000</v>
      </c>
      <c r="L26" s="87">
        <v>612178.76</v>
      </c>
      <c r="M26" s="87">
        <v>66.087505419185348</v>
      </c>
      <c r="N26" s="87">
        <v>69.408022675736959</v>
      </c>
      <c r="O26" s="31"/>
      <c r="T26" s="25" t="str">
        <f t="shared" si="6"/>
        <v>5216362</v>
      </c>
    </row>
    <row r="27" spans="2:20" ht="24.95" customHeight="1" collapsed="1" x14ac:dyDescent="0.2">
      <c r="B27" s="30"/>
      <c r="H27" s="230" t="s">
        <v>34</v>
      </c>
      <c r="I27" s="230"/>
      <c r="J27" s="79">
        <v>0</v>
      </c>
      <c r="K27" s="79">
        <v>0</v>
      </c>
      <c r="L27" s="79">
        <v>0</v>
      </c>
      <c r="M27" s="79">
        <v>0</v>
      </c>
      <c r="N27" s="79">
        <v>0</v>
      </c>
    </row>
    <row r="28" spans="2:20" ht="20.100000000000001" hidden="1" customHeight="1" outlineLevel="1" x14ac:dyDescent="0.2">
      <c r="B28" s="30" t="s">
        <v>469</v>
      </c>
      <c r="D28" s="30">
        <v>541</v>
      </c>
      <c r="E28" s="30" t="str">
        <f t="shared" ref="E28:E30" si="28">LEFT(H28,1)</f>
        <v>6</v>
      </c>
      <c r="F28" s="30" t="str">
        <f t="shared" ref="F28:F30" si="29">LEFT(H28,2)</f>
        <v>63</v>
      </c>
      <c r="G28" s="26" t="str">
        <f t="shared" ref="G28:G30" si="30">LEFT(H28,3)</f>
        <v>632</v>
      </c>
      <c r="H28" s="86" t="s">
        <v>307</v>
      </c>
      <c r="I28" s="86" t="s">
        <v>309</v>
      </c>
      <c r="J28" s="87"/>
      <c r="K28" s="87"/>
      <c r="L28" s="87"/>
      <c r="M28" s="87">
        <v>0</v>
      </c>
      <c r="N28" s="87">
        <v>0</v>
      </c>
      <c r="O28" s="31"/>
      <c r="T28" s="25" t="str">
        <f t="shared" si="6"/>
        <v>5416321</v>
      </c>
    </row>
    <row r="29" spans="2:20" ht="20.100000000000001" hidden="1" customHeight="1" outlineLevel="1" x14ac:dyDescent="0.2">
      <c r="B29" s="30" t="s">
        <v>469</v>
      </c>
      <c r="D29" s="30">
        <v>541</v>
      </c>
      <c r="E29" s="30" t="str">
        <f t="shared" si="28"/>
        <v>6</v>
      </c>
      <c r="F29" s="30" t="str">
        <f t="shared" si="29"/>
        <v>63</v>
      </c>
      <c r="G29" s="26" t="str">
        <f t="shared" si="30"/>
        <v>632</v>
      </c>
      <c r="H29" s="86" t="s">
        <v>310</v>
      </c>
      <c r="I29" s="86" t="s">
        <v>312</v>
      </c>
      <c r="J29" s="87"/>
      <c r="K29" s="87"/>
      <c r="L29" s="87"/>
      <c r="M29" s="87">
        <v>0</v>
      </c>
      <c r="N29" s="87">
        <v>0</v>
      </c>
      <c r="O29" s="31"/>
      <c r="T29" s="25" t="str">
        <f t="shared" si="6"/>
        <v>5416322</v>
      </c>
    </row>
    <row r="30" spans="2:20" ht="20.100000000000001" hidden="1" customHeight="1" outlineLevel="1" x14ac:dyDescent="0.2">
      <c r="B30" s="30" t="s">
        <v>469</v>
      </c>
      <c r="D30" s="30">
        <v>541</v>
      </c>
      <c r="E30" s="30" t="str">
        <f t="shared" si="28"/>
        <v>9</v>
      </c>
      <c r="F30" s="30" t="str">
        <f t="shared" si="29"/>
        <v>92</v>
      </c>
      <c r="G30" s="26" t="str">
        <f t="shared" si="30"/>
        <v>922</v>
      </c>
      <c r="H30" s="86" t="s">
        <v>298</v>
      </c>
      <c r="I30" s="86" t="s">
        <v>300</v>
      </c>
      <c r="J30" s="87"/>
      <c r="K30" s="87"/>
      <c r="L30" s="87"/>
      <c r="M30" s="87">
        <v>0</v>
      </c>
      <c r="N30" s="87">
        <v>0</v>
      </c>
      <c r="O30" s="31"/>
      <c r="T30" s="25" t="str">
        <f t="shared" si="6"/>
        <v>5419221</v>
      </c>
    </row>
    <row r="31" spans="2:20" ht="24.95" customHeight="1" collapsed="1" x14ac:dyDescent="0.2">
      <c r="B31" s="30"/>
      <c r="H31" s="230" t="s">
        <v>586</v>
      </c>
      <c r="I31" s="230"/>
      <c r="J31" s="79">
        <v>344.44</v>
      </c>
      <c r="K31" s="79">
        <v>0</v>
      </c>
      <c r="L31" s="79">
        <v>34936</v>
      </c>
      <c r="M31" s="79">
        <v>10142.840552781327</v>
      </c>
      <c r="N31" s="79">
        <v>0</v>
      </c>
    </row>
    <row r="32" spans="2:20" ht="20.100000000000001" hidden="1" customHeight="1" outlineLevel="1" x14ac:dyDescent="0.2">
      <c r="B32" s="30" t="s">
        <v>469</v>
      </c>
      <c r="D32" s="30">
        <v>561</v>
      </c>
      <c r="E32" s="30" t="str">
        <f t="shared" ref="E32:E33" si="31">LEFT(H32,1)</f>
        <v>6</v>
      </c>
      <c r="F32" s="30" t="str">
        <f t="shared" ref="F32:F33" si="32">LEFT(H32,2)</f>
        <v>63</v>
      </c>
      <c r="G32" s="26" t="str">
        <f t="shared" ref="G32:G33" si="33">LEFT(H32,3)</f>
        <v>638</v>
      </c>
      <c r="H32" s="86" t="s">
        <v>314</v>
      </c>
      <c r="I32" s="86" t="s">
        <v>316</v>
      </c>
      <c r="J32" s="87">
        <v>344.44</v>
      </c>
      <c r="K32" s="87"/>
      <c r="L32" s="87">
        <v>34936</v>
      </c>
      <c r="M32" s="87">
        <v>10142.840552781327</v>
      </c>
      <c r="N32" s="87">
        <v>0</v>
      </c>
      <c r="O32" s="31"/>
      <c r="T32" s="25" t="str">
        <f t="shared" si="6"/>
        <v>5616381</v>
      </c>
    </row>
    <row r="33" spans="1:22" ht="20.100000000000001" hidden="1" customHeight="1" outlineLevel="1" x14ac:dyDescent="0.2">
      <c r="B33" s="30" t="s">
        <v>469</v>
      </c>
      <c r="D33" s="30">
        <v>561</v>
      </c>
      <c r="E33" s="30" t="str">
        <f t="shared" si="31"/>
        <v>9</v>
      </c>
      <c r="F33" s="30" t="str">
        <f t="shared" si="32"/>
        <v>92</v>
      </c>
      <c r="G33" s="26" t="str">
        <f t="shared" si="33"/>
        <v>922</v>
      </c>
      <c r="H33" s="86" t="s">
        <v>298</v>
      </c>
      <c r="I33" s="86" t="s">
        <v>300</v>
      </c>
      <c r="J33" s="87"/>
      <c r="K33" s="87"/>
      <c r="L33" s="87"/>
      <c r="M33" s="87">
        <v>0</v>
      </c>
      <c r="N33" s="87">
        <v>0</v>
      </c>
      <c r="O33" s="31"/>
      <c r="T33" s="25" t="str">
        <f t="shared" si="6"/>
        <v>5619221</v>
      </c>
    </row>
    <row r="34" spans="1:22" ht="24.95" customHeight="1" collapsed="1" x14ac:dyDescent="0.2">
      <c r="B34" s="30"/>
      <c r="H34" s="230" t="s">
        <v>587</v>
      </c>
      <c r="I34" s="230"/>
      <c r="J34" s="79">
        <v>0</v>
      </c>
      <c r="K34" s="79">
        <v>0</v>
      </c>
      <c r="L34" s="79">
        <v>1000</v>
      </c>
      <c r="M34" s="79">
        <v>0</v>
      </c>
      <c r="N34" s="79">
        <v>0</v>
      </c>
    </row>
    <row r="35" spans="1:22" ht="20.100000000000001" hidden="1" customHeight="1" outlineLevel="1" x14ac:dyDescent="0.2">
      <c r="B35" s="30" t="s">
        <v>469</v>
      </c>
      <c r="D35" s="30">
        <v>541</v>
      </c>
      <c r="E35" s="30" t="str">
        <f t="shared" ref="E35" si="34">LEFT(H35,1)</f>
        <v>6</v>
      </c>
      <c r="F35" s="30" t="str">
        <f t="shared" ref="F35" si="35">LEFT(H35,2)</f>
        <v>63</v>
      </c>
      <c r="G35" s="26" t="str">
        <f t="shared" ref="G35" si="36">LEFT(H35,3)</f>
        <v>632</v>
      </c>
      <c r="H35" s="86" t="s">
        <v>307</v>
      </c>
      <c r="I35" s="86" t="s">
        <v>309</v>
      </c>
      <c r="J35" s="87"/>
      <c r="K35" s="87"/>
      <c r="L35" s="87">
        <v>1000</v>
      </c>
      <c r="M35" s="87">
        <v>0</v>
      </c>
      <c r="N35" s="87">
        <v>0</v>
      </c>
      <c r="O35" s="31"/>
      <c r="T35" s="25" t="str">
        <f t="shared" ref="T35" si="37">CONCATENATE(C35,D35,H35)</f>
        <v>5416321</v>
      </c>
    </row>
    <row r="36" spans="1:22" ht="20.100000000000001" hidden="1" customHeight="1" outlineLevel="1" x14ac:dyDescent="0.2">
      <c r="B36" s="30" t="s">
        <v>469</v>
      </c>
      <c r="D36" s="30">
        <v>562</v>
      </c>
      <c r="E36" s="30" t="str">
        <f t="shared" ref="E36" si="38">LEFT(H36,1)</f>
        <v>6</v>
      </c>
      <c r="F36" s="30" t="str">
        <f t="shared" ref="F36" si="39">LEFT(H36,2)</f>
        <v>63</v>
      </c>
      <c r="G36" s="26" t="str">
        <f t="shared" ref="G36" si="40">LEFT(H36,3)</f>
        <v>638</v>
      </c>
      <c r="H36" s="212" t="s">
        <v>314</v>
      </c>
      <c r="I36" s="86" t="s">
        <v>316</v>
      </c>
      <c r="J36" s="87"/>
      <c r="K36" s="87"/>
      <c r="L36" s="87"/>
      <c r="M36" s="87">
        <v>0</v>
      </c>
      <c r="N36" s="87">
        <v>0</v>
      </c>
      <c r="O36" s="31"/>
      <c r="T36" s="25" t="str">
        <f t="shared" si="6"/>
        <v>5626381</v>
      </c>
    </row>
    <row r="37" spans="1:22" ht="24.95" customHeight="1" collapsed="1" x14ac:dyDescent="0.2">
      <c r="B37" s="30"/>
      <c r="H37" s="230" t="s">
        <v>45</v>
      </c>
      <c r="I37" s="230"/>
      <c r="J37" s="79">
        <v>149</v>
      </c>
      <c r="K37" s="79">
        <v>100000</v>
      </c>
      <c r="L37" s="79">
        <v>0</v>
      </c>
      <c r="M37" s="79">
        <v>0</v>
      </c>
      <c r="N37" s="79">
        <v>0</v>
      </c>
    </row>
    <row r="38" spans="1:22" ht="20.100000000000001" hidden="1" customHeight="1" outlineLevel="1" x14ac:dyDescent="0.2">
      <c r="B38" s="30" t="s">
        <v>469</v>
      </c>
      <c r="D38" s="30">
        <v>611</v>
      </c>
      <c r="E38" s="30" t="str">
        <f t="shared" ref="E38" si="41">LEFT(H38,1)</f>
        <v>6</v>
      </c>
      <c r="F38" s="30" t="str">
        <f t="shared" ref="F38" si="42">LEFT(H38,2)</f>
        <v>66</v>
      </c>
      <c r="G38" s="26" t="str">
        <f t="shared" ref="G38" si="43">LEFT(H38,3)</f>
        <v>663</v>
      </c>
      <c r="H38" s="86" t="s">
        <v>321</v>
      </c>
      <c r="I38" s="86" t="s">
        <v>323</v>
      </c>
      <c r="J38" s="87">
        <v>149</v>
      </c>
      <c r="K38" s="87">
        <v>100000</v>
      </c>
      <c r="L38" s="87"/>
      <c r="M38" s="87">
        <v>0</v>
      </c>
      <c r="N38" s="87">
        <v>0</v>
      </c>
      <c r="O38" s="31"/>
      <c r="T38" s="25" t="str">
        <f t="shared" si="6"/>
        <v>6116632</v>
      </c>
    </row>
    <row r="39" spans="1:22" ht="24.95" customHeight="1" collapsed="1" thickBot="1" x14ac:dyDescent="0.25">
      <c r="B39" s="30"/>
      <c r="H39" s="230" t="s">
        <v>48</v>
      </c>
      <c r="I39" s="230"/>
      <c r="J39" s="79">
        <v>0</v>
      </c>
      <c r="K39" s="79">
        <v>1300</v>
      </c>
      <c r="L39" s="79">
        <v>0</v>
      </c>
      <c r="M39" s="79">
        <v>0</v>
      </c>
      <c r="N39" s="79">
        <v>0</v>
      </c>
    </row>
    <row r="40" spans="1:22" ht="20.100000000000001" hidden="1" customHeight="1" outlineLevel="1" thickBot="1" x14ac:dyDescent="0.25">
      <c r="B40" s="30" t="s">
        <v>469</v>
      </c>
      <c r="D40" s="30">
        <v>711</v>
      </c>
      <c r="E40" s="30" t="str">
        <f t="shared" ref="E40" si="44">LEFT(H40,1)</f>
        <v>7</v>
      </c>
      <c r="F40" s="30" t="str">
        <f t="shared" ref="F40" si="45">LEFT(H40,2)</f>
        <v>72</v>
      </c>
      <c r="G40" s="26" t="str">
        <f t="shared" ref="G40" si="46">LEFT(H40,3)</f>
        <v>721</v>
      </c>
      <c r="H40" s="86" t="s">
        <v>324</v>
      </c>
      <c r="I40" s="86" t="s">
        <v>326</v>
      </c>
      <c r="J40" s="87"/>
      <c r="K40" s="87">
        <v>1300</v>
      </c>
      <c r="L40" s="87"/>
      <c r="M40" s="87">
        <v>0</v>
      </c>
      <c r="N40" s="87">
        <v>0</v>
      </c>
      <c r="O40" s="31"/>
      <c r="T40" s="25" t="str">
        <f t="shared" si="6"/>
        <v>7117211</v>
      </c>
    </row>
    <row r="41" spans="1:22" ht="35.1" customHeight="1" collapsed="1" thickBot="1" x14ac:dyDescent="0.25">
      <c r="H41" s="225" t="s">
        <v>463</v>
      </c>
      <c r="I41" s="225"/>
      <c r="J41" s="82">
        <v>11246298.220000003</v>
      </c>
      <c r="K41" s="82">
        <v>25543600</v>
      </c>
      <c r="L41" s="82">
        <v>12443169.619999997</v>
      </c>
      <c r="M41" s="82">
        <v>110.64235872628313</v>
      </c>
      <c r="N41" s="82">
        <v>48.713453154606228</v>
      </c>
    </row>
    <row r="42" spans="1:22" ht="35.1" customHeight="1" collapsed="1" thickBot="1" x14ac:dyDescent="0.25">
      <c r="H42" s="225" t="s">
        <v>55</v>
      </c>
      <c r="I42" s="225"/>
      <c r="J42" s="82">
        <v>10028360.680000002</v>
      </c>
      <c r="K42" s="82">
        <v>21631800</v>
      </c>
      <c r="L42" s="82">
        <v>10955694.719999997</v>
      </c>
      <c r="M42" s="82">
        <v>109.24711495318888</v>
      </c>
      <c r="N42" s="82">
        <v>50.646246359526238</v>
      </c>
      <c r="V42" s="31"/>
    </row>
    <row r="43" spans="1:22" ht="24.95" customHeight="1" x14ac:dyDescent="0.2">
      <c r="H43" s="230" t="s">
        <v>56</v>
      </c>
      <c r="I43" s="230"/>
      <c r="J43" s="79">
        <v>9285738.3900000025</v>
      </c>
      <c r="K43" s="79">
        <v>19799900</v>
      </c>
      <c r="L43" s="79">
        <v>10133814.529999996</v>
      </c>
      <c r="M43" s="79">
        <v>109.13310395340561</v>
      </c>
      <c r="N43" s="79">
        <v>51.181139955252277</v>
      </c>
    </row>
    <row r="44" spans="1:22" ht="20.100000000000001" hidden="1" customHeight="1" outlineLevel="1" x14ac:dyDescent="0.2">
      <c r="A44" s="25" t="str">
        <f>CONCATENATE(C44,D44,H44)</f>
        <v>A2124011123111</v>
      </c>
      <c r="B44" s="30" t="s">
        <v>472</v>
      </c>
      <c r="C44" s="26" t="s">
        <v>327</v>
      </c>
      <c r="D44" s="30">
        <v>112</v>
      </c>
      <c r="E44" s="30" t="str">
        <f t="shared" ref="E44:E68" si="47">LEFT(H44,1)</f>
        <v>3</v>
      </c>
      <c r="F44" s="30" t="str">
        <f t="shared" ref="F44:F68" si="48">LEFT(H44,2)</f>
        <v>31</v>
      </c>
      <c r="G44" s="26" t="str">
        <f t="shared" ref="G44:G68" si="49">LEFT(H44,3)</f>
        <v>311</v>
      </c>
      <c r="H44" s="86" t="s">
        <v>57</v>
      </c>
      <c r="I44" s="86" t="s">
        <v>59</v>
      </c>
      <c r="J44" s="87">
        <v>6929526.4500000002</v>
      </c>
      <c r="K44" s="87">
        <v>14682100</v>
      </c>
      <c r="L44" s="87">
        <v>7344009.79</v>
      </c>
      <c r="M44" s="87">
        <v>105.98140930683655</v>
      </c>
      <c r="N44" s="87">
        <v>50.020159173415244</v>
      </c>
      <c r="O44" s="31"/>
      <c r="T44" s="25" t="str">
        <f t="shared" si="6"/>
        <v>A2124011123111</v>
      </c>
    </row>
    <row r="45" spans="1:22" ht="20.100000000000001" hidden="1" customHeight="1" outlineLevel="1" x14ac:dyDescent="0.2">
      <c r="A45" s="25" t="str">
        <f t="shared" ref="A45:A108" si="50">CONCATENATE(C45,D45,H45)</f>
        <v>A2124011123121</v>
      </c>
      <c r="B45" s="30" t="s">
        <v>472</v>
      </c>
      <c r="C45" s="26" t="s">
        <v>327</v>
      </c>
      <c r="D45" s="30">
        <v>112</v>
      </c>
      <c r="E45" s="30" t="str">
        <f t="shared" si="47"/>
        <v>3</v>
      </c>
      <c r="F45" s="30" t="str">
        <f t="shared" si="48"/>
        <v>31</v>
      </c>
      <c r="G45" s="26" t="str">
        <f t="shared" si="49"/>
        <v>312</v>
      </c>
      <c r="H45" s="86" t="s">
        <v>60</v>
      </c>
      <c r="I45" s="86" t="s">
        <v>62</v>
      </c>
      <c r="J45" s="87">
        <v>621103.56999999995</v>
      </c>
      <c r="K45" s="87">
        <v>1050300</v>
      </c>
      <c r="L45" s="87">
        <v>719085.75999999989</v>
      </c>
      <c r="M45" s="87">
        <v>115.77549940664484</v>
      </c>
      <c r="N45" s="87">
        <v>68.464796724745298</v>
      </c>
      <c r="O45" s="31"/>
      <c r="T45" s="25" t="str">
        <f t="shared" si="6"/>
        <v>A2124011123121</v>
      </c>
    </row>
    <row r="46" spans="1:22" ht="20.100000000000001" hidden="1" customHeight="1" outlineLevel="1" x14ac:dyDescent="0.2">
      <c r="A46" s="25" t="str">
        <f t="shared" si="50"/>
        <v>A2124011123132</v>
      </c>
      <c r="B46" s="30" t="s">
        <v>472</v>
      </c>
      <c r="C46" s="26" t="s">
        <v>327</v>
      </c>
      <c r="D46" s="30">
        <v>112</v>
      </c>
      <c r="E46" s="30" t="str">
        <f t="shared" si="47"/>
        <v>3</v>
      </c>
      <c r="F46" s="30" t="str">
        <f t="shared" si="48"/>
        <v>31</v>
      </c>
      <c r="G46" s="26" t="str">
        <f t="shared" si="49"/>
        <v>313</v>
      </c>
      <c r="H46" s="86" t="s">
        <v>63</v>
      </c>
      <c r="I46" s="86" t="s">
        <v>65</v>
      </c>
      <c r="J46" s="87">
        <v>1107272.56</v>
      </c>
      <c r="K46" s="87">
        <v>2333800</v>
      </c>
      <c r="L46" s="87">
        <v>1186803.58</v>
      </c>
      <c r="M46" s="87">
        <v>107.18260551855452</v>
      </c>
      <c r="N46" s="87">
        <v>50.852840003427893</v>
      </c>
      <c r="O46" s="31"/>
      <c r="T46" s="25" t="str">
        <f t="shared" si="6"/>
        <v>A2124011123132</v>
      </c>
    </row>
    <row r="47" spans="1:22" ht="20.100000000000001" hidden="1" customHeight="1" outlineLevel="1" x14ac:dyDescent="0.2">
      <c r="A47" s="25" t="str">
        <f t="shared" si="50"/>
        <v>A2124011123212</v>
      </c>
      <c r="B47" s="30" t="s">
        <v>472</v>
      </c>
      <c r="C47" s="26" t="s">
        <v>327</v>
      </c>
      <c r="D47" s="30">
        <v>112</v>
      </c>
      <c r="E47" s="30" t="str">
        <f t="shared" si="47"/>
        <v>3</v>
      </c>
      <c r="F47" s="30" t="str">
        <f t="shared" si="48"/>
        <v>32</v>
      </c>
      <c r="G47" s="26" t="str">
        <f t="shared" si="49"/>
        <v>321</v>
      </c>
      <c r="H47" s="86" t="s">
        <v>66</v>
      </c>
      <c r="I47" s="86" t="s">
        <v>68</v>
      </c>
      <c r="J47" s="87">
        <v>156356.81</v>
      </c>
      <c r="K47" s="87">
        <v>347000</v>
      </c>
      <c r="L47" s="87">
        <v>154131.35999999999</v>
      </c>
      <c r="M47" s="87">
        <v>98.576684955391443</v>
      </c>
      <c r="N47" s="87">
        <v>44.418259365994231</v>
      </c>
      <c r="O47" s="31"/>
      <c r="T47" s="25" t="str">
        <f t="shared" si="6"/>
        <v>A2124011123212</v>
      </c>
    </row>
    <row r="48" spans="1:22" ht="20.100000000000001" hidden="1" customHeight="1" outlineLevel="1" x14ac:dyDescent="0.2">
      <c r="A48" s="25" t="str">
        <f t="shared" si="50"/>
        <v>A2124011123213</v>
      </c>
      <c r="B48" s="30" t="s">
        <v>472</v>
      </c>
      <c r="C48" s="26" t="s">
        <v>327</v>
      </c>
      <c r="D48" s="30">
        <v>112</v>
      </c>
      <c r="E48" s="30" t="str">
        <f t="shared" si="47"/>
        <v>3</v>
      </c>
      <c r="F48" s="30" t="str">
        <f t="shared" si="48"/>
        <v>32</v>
      </c>
      <c r="G48" s="26" t="str">
        <f t="shared" si="49"/>
        <v>321</v>
      </c>
      <c r="H48" s="86" t="s">
        <v>69</v>
      </c>
      <c r="I48" s="86" t="s">
        <v>71</v>
      </c>
      <c r="J48" s="87">
        <v>6823.4</v>
      </c>
      <c r="K48" s="87">
        <v>40000</v>
      </c>
      <c r="L48" s="87">
        <v>6365.7699999999995</v>
      </c>
      <c r="M48" s="87">
        <v>93.293226250842693</v>
      </c>
      <c r="N48" s="87">
        <v>15.914424999999998</v>
      </c>
      <c r="O48" s="31"/>
      <c r="T48" s="25" t="str">
        <f t="shared" si="6"/>
        <v>A2124011123213</v>
      </c>
    </row>
    <row r="49" spans="1:20" ht="20.100000000000001" hidden="1" customHeight="1" outlineLevel="1" x14ac:dyDescent="0.2">
      <c r="A49" s="25" t="str">
        <f t="shared" si="50"/>
        <v>A2124011123221</v>
      </c>
      <c r="B49" s="30" t="s">
        <v>472</v>
      </c>
      <c r="C49" s="26" t="s">
        <v>327</v>
      </c>
      <c r="D49" s="30">
        <v>112</v>
      </c>
      <c r="E49" s="30" t="str">
        <f t="shared" si="47"/>
        <v>3</v>
      </c>
      <c r="F49" s="30" t="str">
        <f t="shared" si="48"/>
        <v>32</v>
      </c>
      <c r="G49" s="26" t="str">
        <f t="shared" si="49"/>
        <v>322</v>
      </c>
      <c r="H49" s="86" t="s">
        <v>72</v>
      </c>
      <c r="I49" s="86" t="s">
        <v>74</v>
      </c>
      <c r="J49" s="87">
        <v>3000</v>
      </c>
      <c r="K49" s="87">
        <v>3000</v>
      </c>
      <c r="L49" s="87">
        <v>2999.9999999999995</v>
      </c>
      <c r="M49" s="87">
        <v>99.999999999999986</v>
      </c>
      <c r="N49" s="87">
        <v>99.999999999999986</v>
      </c>
      <c r="O49" s="31"/>
      <c r="T49" s="25" t="str">
        <f t="shared" si="6"/>
        <v>A2124011123221</v>
      </c>
    </row>
    <row r="50" spans="1:20" ht="20.100000000000001" hidden="1" customHeight="1" outlineLevel="1" x14ac:dyDescent="0.2">
      <c r="A50" s="25" t="str">
        <f t="shared" si="50"/>
        <v>A2124011123222</v>
      </c>
      <c r="B50" s="30" t="s">
        <v>472</v>
      </c>
      <c r="C50" s="26" t="s">
        <v>327</v>
      </c>
      <c r="D50" s="30">
        <v>112</v>
      </c>
      <c r="E50" s="30" t="str">
        <f t="shared" si="47"/>
        <v>3</v>
      </c>
      <c r="F50" s="30" t="str">
        <f t="shared" si="48"/>
        <v>32</v>
      </c>
      <c r="G50" s="26" t="str">
        <f t="shared" si="49"/>
        <v>322</v>
      </c>
      <c r="H50" s="86" t="s">
        <v>75</v>
      </c>
      <c r="I50" s="86" t="s">
        <v>77</v>
      </c>
      <c r="J50" s="87">
        <v>23808.65</v>
      </c>
      <c r="K50" s="87">
        <v>49700</v>
      </c>
      <c r="L50" s="87">
        <v>29000.370000000003</v>
      </c>
      <c r="M50" s="87">
        <v>121.80602428109113</v>
      </c>
      <c r="N50" s="87">
        <v>58.350845070422544</v>
      </c>
      <c r="O50" s="31"/>
      <c r="T50" s="25" t="str">
        <f t="shared" si="6"/>
        <v>A2124011123222</v>
      </c>
    </row>
    <row r="51" spans="1:20" ht="20.100000000000001" hidden="1" customHeight="1" outlineLevel="1" x14ac:dyDescent="0.2">
      <c r="A51" s="25" t="str">
        <f t="shared" si="50"/>
        <v>A2124011123223</v>
      </c>
      <c r="B51" s="30" t="s">
        <v>472</v>
      </c>
      <c r="C51" s="26" t="s">
        <v>327</v>
      </c>
      <c r="D51" s="30">
        <v>112</v>
      </c>
      <c r="E51" s="30" t="str">
        <f t="shared" si="47"/>
        <v>3</v>
      </c>
      <c r="F51" s="30" t="str">
        <f t="shared" si="48"/>
        <v>32</v>
      </c>
      <c r="G51" s="26" t="str">
        <f t="shared" si="49"/>
        <v>322</v>
      </c>
      <c r="H51" s="86" t="s">
        <v>78</v>
      </c>
      <c r="I51" s="86" t="s">
        <v>80</v>
      </c>
      <c r="J51" s="87">
        <v>215083.56</v>
      </c>
      <c r="K51" s="87">
        <v>420000</v>
      </c>
      <c r="L51" s="87">
        <v>180987.14</v>
      </c>
      <c r="M51" s="87">
        <v>84.147361146523707</v>
      </c>
      <c r="N51" s="87">
        <v>43.092176190476195</v>
      </c>
      <c r="O51" s="31"/>
      <c r="T51" s="25" t="str">
        <f t="shared" si="6"/>
        <v>A2124011123223</v>
      </c>
    </row>
    <row r="52" spans="1:20" ht="20.100000000000001" hidden="1" customHeight="1" outlineLevel="1" x14ac:dyDescent="0.2">
      <c r="A52" s="25" t="str">
        <f t="shared" si="50"/>
        <v>A2124011123224</v>
      </c>
      <c r="B52" s="30" t="s">
        <v>472</v>
      </c>
      <c r="C52" s="26" t="s">
        <v>327</v>
      </c>
      <c r="D52" s="30">
        <v>112</v>
      </c>
      <c r="E52" s="30" t="str">
        <f t="shared" si="47"/>
        <v>3</v>
      </c>
      <c r="F52" s="30" t="str">
        <f t="shared" si="48"/>
        <v>32</v>
      </c>
      <c r="G52" s="26" t="str">
        <f t="shared" si="49"/>
        <v>322</v>
      </c>
      <c r="H52" s="86" t="s">
        <v>81</v>
      </c>
      <c r="I52" s="86" t="s">
        <v>83</v>
      </c>
      <c r="J52" s="87">
        <v>906.06</v>
      </c>
      <c r="K52" s="87">
        <v>0</v>
      </c>
      <c r="L52" s="87">
        <v>0</v>
      </c>
      <c r="M52" s="87">
        <v>0</v>
      </c>
      <c r="N52" s="87">
        <v>0</v>
      </c>
      <c r="O52" s="31"/>
      <c r="T52" s="25" t="str">
        <f t="shared" si="6"/>
        <v>A2124011123224</v>
      </c>
    </row>
    <row r="53" spans="1:20" ht="20.100000000000001" hidden="1" customHeight="1" outlineLevel="1" x14ac:dyDescent="0.2">
      <c r="A53" s="25" t="str">
        <f t="shared" si="50"/>
        <v>A2124011123225</v>
      </c>
      <c r="B53" s="30" t="s">
        <v>472</v>
      </c>
      <c r="C53" s="26" t="s">
        <v>327</v>
      </c>
      <c r="D53" s="30">
        <v>112</v>
      </c>
      <c r="E53" s="30" t="str">
        <f t="shared" si="47"/>
        <v>3</v>
      </c>
      <c r="F53" s="30" t="str">
        <f t="shared" si="48"/>
        <v>32</v>
      </c>
      <c r="G53" s="26" t="str">
        <f t="shared" si="49"/>
        <v>322</v>
      </c>
      <c r="H53" s="86" t="s">
        <v>84</v>
      </c>
      <c r="I53" s="86" t="s">
        <v>86</v>
      </c>
      <c r="J53" s="87">
        <v>0</v>
      </c>
      <c r="K53" s="87">
        <v>0</v>
      </c>
      <c r="L53" s="87">
        <v>0</v>
      </c>
      <c r="M53" s="87">
        <v>0</v>
      </c>
      <c r="N53" s="87">
        <v>0</v>
      </c>
      <c r="O53" s="31"/>
      <c r="T53" s="25" t="str">
        <f t="shared" si="6"/>
        <v>A2124011123225</v>
      </c>
    </row>
    <row r="54" spans="1:20" ht="20.100000000000001" hidden="1" customHeight="1" outlineLevel="1" x14ac:dyDescent="0.2">
      <c r="A54" s="25" t="str">
        <f t="shared" si="50"/>
        <v>A2124011123231</v>
      </c>
      <c r="B54" s="30" t="s">
        <v>472</v>
      </c>
      <c r="C54" s="26" t="s">
        <v>327</v>
      </c>
      <c r="D54" s="30">
        <v>112</v>
      </c>
      <c r="E54" s="30" t="str">
        <f t="shared" si="47"/>
        <v>3</v>
      </c>
      <c r="F54" s="30" t="str">
        <f t="shared" si="48"/>
        <v>32</v>
      </c>
      <c r="G54" s="26" t="str">
        <f t="shared" si="49"/>
        <v>323</v>
      </c>
      <c r="H54" s="86" t="s">
        <v>87</v>
      </c>
      <c r="I54" s="86" t="s">
        <v>89</v>
      </c>
      <c r="J54" s="87">
        <v>4000</v>
      </c>
      <c r="K54" s="87">
        <v>4000</v>
      </c>
      <c r="L54" s="87">
        <v>4000</v>
      </c>
      <c r="M54" s="87">
        <v>100</v>
      </c>
      <c r="N54" s="87">
        <v>100</v>
      </c>
      <c r="O54" s="31"/>
      <c r="T54" s="25" t="str">
        <f t="shared" si="6"/>
        <v>A2124011123231</v>
      </c>
    </row>
    <row r="55" spans="1:20" ht="20.100000000000001" hidden="1" customHeight="1" outlineLevel="1" x14ac:dyDescent="0.2">
      <c r="A55" s="25" t="str">
        <f t="shared" si="50"/>
        <v>A2124011123232</v>
      </c>
      <c r="B55" s="30" t="s">
        <v>472</v>
      </c>
      <c r="C55" s="26" t="s">
        <v>327</v>
      </c>
      <c r="D55" s="30">
        <v>112</v>
      </c>
      <c r="E55" s="30" t="str">
        <f t="shared" si="47"/>
        <v>3</v>
      </c>
      <c r="F55" s="30" t="str">
        <f t="shared" si="48"/>
        <v>32</v>
      </c>
      <c r="G55" s="26" t="str">
        <f t="shared" si="49"/>
        <v>323</v>
      </c>
      <c r="H55" s="86" t="s">
        <v>38</v>
      </c>
      <c r="I55" s="86" t="s">
        <v>40</v>
      </c>
      <c r="J55" s="87">
        <v>3964.74</v>
      </c>
      <c r="K55" s="87">
        <v>21000</v>
      </c>
      <c r="L55" s="87">
        <v>10526.52</v>
      </c>
      <c r="M55" s="87">
        <v>265.50341258190957</v>
      </c>
      <c r="N55" s="87">
        <v>50.126285714285714</v>
      </c>
      <c r="O55" s="31"/>
      <c r="T55" s="25" t="str">
        <f t="shared" si="6"/>
        <v>A2124011123232</v>
      </c>
    </row>
    <row r="56" spans="1:20" ht="20.100000000000001" hidden="1" customHeight="1" outlineLevel="1" x14ac:dyDescent="0.2">
      <c r="A56" s="25" t="str">
        <f t="shared" si="50"/>
        <v>A2124011123233</v>
      </c>
      <c r="B56" s="30" t="s">
        <v>472</v>
      </c>
      <c r="C56" s="26" t="s">
        <v>327</v>
      </c>
      <c r="D56" s="30">
        <v>112</v>
      </c>
      <c r="E56" s="30" t="str">
        <f t="shared" si="47"/>
        <v>3</v>
      </c>
      <c r="F56" s="30" t="str">
        <f t="shared" si="48"/>
        <v>32</v>
      </c>
      <c r="G56" s="26" t="str">
        <f t="shared" si="49"/>
        <v>323</v>
      </c>
      <c r="H56" s="86" t="s">
        <v>91</v>
      </c>
      <c r="I56" s="86" t="s">
        <v>93</v>
      </c>
      <c r="J56" s="87">
        <v>0</v>
      </c>
      <c r="K56" s="87">
        <v>80000</v>
      </c>
      <c r="L56" s="87">
        <v>9747.7000000000007</v>
      </c>
      <c r="M56" s="87">
        <v>0</v>
      </c>
      <c r="N56" s="87">
        <v>12.184625</v>
      </c>
      <c r="O56" s="31"/>
      <c r="T56" s="25" t="str">
        <f t="shared" si="6"/>
        <v>A2124011123233</v>
      </c>
    </row>
    <row r="57" spans="1:20" ht="20.100000000000001" hidden="1" customHeight="1" outlineLevel="1" x14ac:dyDescent="0.2">
      <c r="A57" s="25" t="str">
        <f t="shared" si="50"/>
        <v>A2124011123234</v>
      </c>
      <c r="B57" s="30" t="s">
        <v>472</v>
      </c>
      <c r="C57" s="26" t="s">
        <v>327</v>
      </c>
      <c r="D57" s="30">
        <v>112</v>
      </c>
      <c r="E57" s="30" t="str">
        <f t="shared" si="47"/>
        <v>3</v>
      </c>
      <c r="F57" s="30" t="str">
        <f t="shared" si="48"/>
        <v>32</v>
      </c>
      <c r="G57" s="26" t="str">
        <f t="shared" si="49"/>
        <v>323</v>
      </c>
      <c r="H57" s="86" t="s">
        <v>94</v>
      </c>
      <c r="I57" s="86" t="s">
        <v>96</v>
      </c>
      <c r="J57" s="87">
        <v>81615.649999999994</v>
      </c>
      <c r="K57" s="87">
        <v>165000</v>
      </c>
      <c r="L57" s="87">
        <v>88991.920000000013</v>
      </c>
      <c r="M57" s="87">
        <v>109.03781321351973</v>
      </c>
      <c r="N57" s="87">
        <v>53.93449696969698</v>
      </c>
      <c r="O57" s="31"/>
      <c r="T57" s="25" t="str">
        <f t="shared" si="6"/>
        <v>A2124011123234</v>
      </c>
    </row>
    <row r="58" spans="1:20" ht="20.100000000000001" hidden="1" customHeight="1" outlineLevel="1" x14ac:dyDescent="0.2">
      <c r="A58" s="25" t="str">
        <f t="shared" si="50"/>
        <v>A2124011123235</v>
      </c>
      <c r="B58" s="30" t="s">
        <v>472</v>
      </c>
      <c r="C58" s="26" t="s">
        <v>327</v>
      </c>
      <c r="D58" s="30">
        <v>112</v>
      </c>
      <c r="E58" s="30" t="str">
        <f t="shared" si="47"/>
        <v>3</v>
      </c>
      <c r="F58" s="30" t="str">
        <f t="shared" si="48"/>
        <v>32</v>
      </c>
      <c r="G58" s="26" t="str">
        <f t="shared" si="49"/>
        <v>323</v>
      </c>
      <c r="H58" s="86" t="s">
        <v>97</v>
      </c>
      <c r="I58" s="86" t="s">
        <v>99</v>
      </c>
      <c r="J58" s="87">
        <v>29745.94</v>
      </c>
      <c r="K58" s="87">
        <v>282500</v>
      </c>
      <c r="L58" s="87">
        <v>228504.10000000003</v>
      </c>
      <c r="M58" s="87">
        <v>768.1858431772539</v>
      </c>
      <c r="N58" s="87">
        <v>80.886407079646034</v>
      </c>
      <c r="O58" s="31"/>
      <c r="T58" s="25" t="str">
        <f t="shared" si="6"/>
        <v>A2124011123235</v>
      </c>
    </row>
    <row r="59" spans="1:20" ht="20.100000000000001" hidden="1" customHeight="1" outlineLevel="1" x14ac:dyDescent="0.2">
      <c r="A59" s="25" t="str">
        <f t="shared" si="50"/>
        <v>A2124011123236</v>
      </c>
      <c r="B59" s="30" t="s">
        <v>472</v>
      </c>
      <c r="C59" s="26" t="s">
        <v>327</v>
      </c>
      <c r="D59" s="30">
        <v>112</v>
      </c>
      <c r="E59" s="30" t="str">
        <f t="shared" si="47"/>
        <v>3</v>
      </c>
      <c r="F59" s="30" t="str">
        <f t="shared" si="48"/>
        <v>32</v>
      </c>
      <c r="G59" s="26" t="str">
        <f t="shared" si="49"/>
        <v>323</v>
      </c>
      <c r="H59" s="86" t="s">
        <v>100</v>
      </c>
      <c r="I59" s="86" t="s">
        <v>102</v>
      </c>
      <c r="J59" s="87">
        <v>13780</v>
      </c>
      <c r="K59" s="87">
        <v>54000</v>
      </c>
      <c r="L59" s="87">
        <v>0</v>
      </c>
      <c r="M59" s="87">
        <v>0</v>
      </c>
      <c r="N59" s="87">
        <v>0</v>
      </c>
      <c r="O59" s="31"/>
      <c r="T59" s="25" t="str">
        <f t="shared" si="6"/>
        <v>A2124011123236</v>
      </c>
    </row>
    <row r="60" spans="1:20" ht="20.100000000000001" hidden="1" customHeight="1" outlineLevel="1" x14ac:dyDescent="0.2">
      <c r="A60" s="25" t="str">
        <f t="shared" si="50"/>
        <v>A2124011123237</v>
      </c>
      <c r="B60" s="30" t="s">
        <v>472</v>
      </c>
      <c r="C60" s="26" t="s">
        <v>327</v>
      </c>
      <c r="D60" s="30">
        <v>112</v>
      </c>
      <c r="E60" s="30" t="str">
        <f t="shared" si="47"/>
        <v>3</v>
      </c>
      <c r="F60" s="30" t="str">
        <f t="shared" si="48"/>
        <v>32</v>
      </c>
      <c r="G60" s="26" t="str">
        <f t="shared" si="49"/>
        <v>323</v>
      </c>
      <c r="H60" s="86" t="s">
        <v>41</v>
      </c>
      <c r="I60" s="86" t="s">
        <v>43</v>
      </c>
      <c r="J60" s="87">
        <v>11628.88</v>
      </c>
      <c r="K60" s="87">
        <v>79500</v>
      </c>
      <c r="L60" s="87">
        <v>77525.000000000015</v>
      </c>
      <c r="M60" s="87">
        <v>666.65921395697626</v>
      </c>
      <c r="N60" s="87">
        <v>97.515723270440276</v>
      </c>
      <c r="O60" s="31"/>
      <c r="T60" s="25" t="str">
        <f t="shared" si="6"/>
        <v>A2124011123237</v>
      </c>
    </row>
    <row r="61" spans="1:20" ht="20.100000000000001" hidden="1" customHeight="1" outlineLevel="1" x14ac:dyDescent="0.2">
      <c r="A61" s="25" t="str">
        <f t="shared" si="50"/>
        <v>A2124011123238</v>
      </c>
      <c r="B61" s="30" t="s">
        <v>472</v>
      </c>
      <c r="C61" s="26" t="s">
        <v>327</v>
      </c>
      <c r="D61" s="30">
        <v>112</v>
      </c>
      <c r="E61" s="30" t="str">
        <f t="shared" si="47"/>
        <v>3</v>
      </c>
      <c r="F61" s="30" t="str">
        <f t="shared" si="48"/>
        <v>32</v>
      </c>
      <c r="G61" s="26" t="str">
        <f t="shared" si="49"/>
        <v>323</v>
      </c>
      <c r="H61" s="86" t="s">
        <v>104</v>
      </c>
      <c r="I61" s="86" t="s">
        <v>106</v>
      </c>
      <c r="J61" s="87">
        <v>50000</v>
      </c>
      <c r="K61" s="87">
        <v>47000</v>
      </c>
      <c r="L61" s="87">
        <v>47000</v>
      </c>
      <c r="M61" s="87">
        <v>94</v>
      </c>
      <c r="N61" s="87">
        <v>100</v>
      </c>
      <c r="O61" s="31"/>
      <c r="T61" s="25" t="str">
        <f t="shared" si="6"/>
        <v>A2124011123238</v>
      </c>
    </row>
    <row r="62" spans="1:20" ht="20.100000000000001" hidden="1" customHeight="1" outlineLevel="1" x14ac:dyDescent="0.2">
      <c r="A62" s="25" t="str">
        <f t="shared" si="50"/>
        <v>A2124011123239</v>
      </c>
      <c r="B62" s="30" t="s">
        <v>472</v>
      </c>
      <c r="C62" s="26" t="s">
        <v>327</v>
      </c>
      <c r="D62" s="30">
        <v>112</v>
      </c>
      <c r="E62" s="30" t="str">
        <f t="shared" ref="E62" si="51">LEFT(H62,1)</f>
        <v>3</v>
      </c>
      <c r="F62" s="30" t="str">
        <f t="shared" ref="F62" si="52">LEFT(H62,2)</f>
        <v>32</v>
      </c>
      <c r="G62" s="26" t="str">
        <f t="shared" ref="G62" si="53">LEFT(H62,3)</f>
        <v>323</v>
      </c>
      <c r="H62" s="212" t="s">
        <v>126</v>
      </c>
      <c r="I62" s="86" t="s">
        <v>128</v>
      </c>
      <c r="J62" s="87">
        <v>0</v>
      </c>
      <c r="K62" s="87">
        <v>100000</v>
      </c>
      <c r="L62" s="87">
        <v>32213.32</v>
      </c>
      <c r="M62" s="87">
        <v>0</v>
      </c>
      <c r="N62" s="87">
        <v>32.213320000000003</v>
      </c>
      <c r="O62" s="31"/>
      <c r="T62" s="25" t="str">
        <f t="shared" si="6"/>
        <v>A2124011123239</v>
      </c>
    </row>
    <row r="63" spans="1:20" ht="30" hidden="1" customHeight="1" outlineLevel="1" x14ac:dyDescent="0.2">
      <c r="A63" s="25" t="str">
        <f t="shared" si="50"/>
        <v>A2124011123291</v>
      </c>
      <c r="B63" s="30" t="s">
        <v>472</v>
      </c>
      <c r="C63" s="26" t="s">
        <v>327</v>
      </c>
      <c r="D63" s="30">
        <v>112</v>
      </c>
      <c r="E63" s="30" t="str">
        <f t="shared" si="47"/>
        <v>3</v>
      </c>
      <c r="F63" s="30" t="str">
        <f t="shared" si="48"/>
        <v>32</v>
      </c>
      <c r="G63" s="26" t="str">
        <f t="shared" si="49"/>
        <v>329</v>
      </c>
      <c r="H63" s="86" t="s">
        <v>107</v>
      </c>
      <c r="I63" s="86" t="s">
        <v>109</v>
      </c>
      <c r="J63" s="87">
        <v>1297.25</v>
      </c>
      <c r="K63" s="87">
        <v>11000</v>
      </c>
      <c r="L63" s="87">
        <v>2792.2000000000003</v>
      </c>
      <c r="M63" s="87">
        <v>215.23993062247064</v>
      </c>
      <c r="N63" s="87">
        <v>25.383636363636363</v>
      </c>
      <c r="O63" s="31"/>
      <c r="T63" s="25" t="str">
        <f t="shared" si="6"/>
        <v>A2124011123291</v>
      </c>
    </row>
    <row r="64" spans="1:20" ht="20.100000000000001" hidden="1" customHeight="1" outlineLevel="1" x14ac:dyDescent="0.2">
      <c r="A64" s="25" t="str">
        <f t="shared" si="50"/>
        <v>A2124011123292</v>
      </c>
      <c r="B64" s="30" t="s">
        <v>472</v>
      </c>
      <c r="C64" s="26" t="s">
        <v>327</v>
      </c>
      <c r="D64" s="30">
        <v>112</v>
      </c>
      <c r="E64" s="30" t="str">
        <f t="shared" si="47"/>
        <v>3</v>
      </c>
      <c r="F64" s="30" t="str">
        <f t="shared" si="48"/>
        <v>32</v>
      </c>
      <c r="G64" s="26" t="str">
        <f t="shared" si="49"/>
        <v>329</v>
      </c>
      <c r="H64" s="86" t="s">
        <v>110</v>
      </c>
      <c r="I64" s="86" t="s">
        <v>112</v>
      </c>
      <c r="J64" s="87">
        <v>24824.87</v>
      </c>
      <c r="K64" s="87">
        <v>25000</v>
      </c>
      <c r="L64" s="87">
        <v>9130</v>
      </c>
      <c r="M64" s="87">
        <v>36.777634686505912</v>
      </c>
      <c r="N64" s="87">
        <v>36.520000000000003</v>
      </c>
      <c r="O64" s="31"/>
      <c r="T64" s="25" t="str">
        <f t="shared" si="6"/>
        <v>A2124011123292</v>
      </c>
    </row>
    <row r="65" spans="1:20" ht="20.100000000000001" hidden="1" customHeight="1" outlineLevel="1" x14ac:dyDescent="0.2">
      <c r="A65" s="25" t="str">
        <f t="shared" si="50"/>
        <v>A2124011123294</v>
      </c>
      <c r="B65" s="30" t="s">
        <v>472</v>
      </c>
      <c r="C65" s="26" t="s">
        <v>327</v>
      </c>
      <c r="D65" s="30">
        <v>112</v>
      </c>
      <c r="E65" s="30" t="str">
        <f t="shared" si="47"/>
        <v>3</v>
      </c>
      <c r="F65" s="30" t="str">
        <f t="shared" si="48"/>
        <v>32</v>
      </c>
      <c r="G65" s="26" t="str">
        <f t="shared" si="49"/>
        <v>329</v>
      </c>
      <c r="H65" s="86" t="s">
        <v>113</v>
      </c>
      <c r="I65" s="86" t="s">
        <v>115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31"/>
      <c r="T65" s="25" t="str">
        <f t="shared" si="6"/>
        <v>A2124011123294</v>
      </c>
    </row>
    <row r="66" spans="1:20" ht="20.100000000000001" hidden="1" customHeight="1" outlineLevel="1" x14ac:dyDescent="0.2">
      <c r="A66" s="25" t="str">
        <f t="shared" si="50"/>
        <v>A2124011123295</v>
      </c>
      <c r="B66" s="30" t="s">
        <v>472</v>
      </c>
      <c r="C66" s="26" t="s">
        <v>327</v>
      </c>
      <c r="D66" s="30">
        <v>112</v>
      </c>
      <c r="E66" s="30" t="str">
        <f t="shared" si="47"/>
        <v>3</v>
      </c>
      <c r="F66" s="30" t="str">
        <f t="shared" si="48"/>
        <v>32</v>
      </c>
      <c r="G66" s="26" t="str">
        <f t="shared" si="49"/>
        <v>329</v>
      </c>
      <c r="H66" s="86" t="s">
        <v>116</v>
      </c>
      <c r="I66" s="86" t="s">
        <v>118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31"/>
      <c r="T66" s="25" t="str">
        <f t="shared" si="6"/>
        <v>A2124011123295</v>
      </c>
    </row>
    <row r="67" spans="1:20" ht="20.100000000000001" hidden="1" customHeight="1" outlineLevel="1" x14ac:dyDescent="0.2">
      <c r="A67" s="25" t="str">
        <f t="shared" si="50"/>
        <v>A2124011123431</v>
      </c>
      <c r="B67" s="30" t="s">
        <v>472</v>
      </c>
      <c r="C67" s="26" t="s">
        <v>327</v>
      </c>
      <c r="D67" s="30">
        <v>112</v>
      </c>
      <c r="E67" s="30" t="str">
        <f t="shared" si="47"/>
        <v>3</v>
      </c>
      <c r="F67" s="30" t="str">
        <f t="shared" si="48"/>
        <v>34</v>
      </c>
      <c r="G67" s="26" t="str">
        <f t="shared" si="49"/>
        <v>343</v>
      </c>
      <c r="H67" s="86" t="s">
        <v>119</v>
      </c>
      <c r="I67" s="86" t="s">
        <v>121</v>
      </c>
      <c r="J67" s="87">
        <v>1000</v>
      </c>
      <c r="K67" s="87">
        <v>5000</v>
      </c>
      <c r="L67" s="87">
        <v>0</v>
      </c>
      <c r="M67" s="87">
        <v>0</v>
      </c>
      <c r="N67" s="87">
        <v>0</v>
      </c>
      <c r="O67" s="31"/>
      <c r="T67" s="25" t="str">
        <f t="shared" si="6"/>
        <v>A2124011123431</v>
      </c>
    </row>
    <row r="68" spans="1:20" ht="30" hidden="1" customHeight="1" outlineLevel="1" x14ac:dyDescent="0.2">
      <c r="A68" s="25" t="str">
        <f t="shared" si="50"/>
        <v>A2124011123694</v>
      </c>
      <c r="B68" s="30" t="s">
        <v>472</v>
      </c>
      <c r="C68" s="26" t="s">
        <v>327</v>
      </c>
      <c r="D68" s="30">
        <v>112</v>
      </c>
      <c r="E68" s="30" t="str">
        <f t="shared" si="47"/>
        <v>3</v>
      </c>
      <c r="F68" s="30" t="str">
        <f t="shared" si="48"/>
        <v>36</v>
      </c>
      <c r="G68" s="26" t="str">
        <f t="shared" si="49"/>
        <v>369</v>
      </c>
      <c r="H68" s="86" t="s">
        <v>122</v>
      </c>
      <c r="I68" s="86" t="s">
        <v>124</v>
      </c>
      <c r="J68" s="87">
        <v>0</v>
      </c>
      <c r="K68" s="87">
        <v>0</v>
      </c>
      <c r="L68" s="87">
        <v>0</v>
      </c>
      <c r="M68" s="87">
        <v>0</v>
      </c>
      <c r="N68" s="87">
        <v>0</v>
      </c>
      <c r="O68" s="31"/>
      <c r="T68" s="25" t="str">
        <f t="shared" si="6"/>
        <v>A2124011123694</v>
      </c>
    </row>
    <row r="69" spans="1:20" ht="24.95" customHeight="1" collapsed="1" x14ac:dyDescent="0.2">
      <c r="B69" s="30"/>
      <c r="H69" s="230" t="s">
        <v>125</v>
      </c>
      <c r="I69" s="230"/>
      <c r="J69" s="79">
        <v>0</v>
      </c>
      <c r="K69" s="79">
        <v>18300</v>
      </c>
      <c r="L69" s="79">
        <v>1492</v>
      </c>
      <c r="M69" s="79">
        <v>0</v>
      </c>
      <c r="N69" s="79">
        <v>8.1530054644808736</v>
      </c>
    </row>
    <row r="70" spans="1:20" ht="20.100000000000001" hidden="1" customHeight="1" outlineLevel="1" x14ac:dyDescent="0.2">
      <c r="A70" s="25" t="str">
        <f t="shared" si="50"/>
        <v>A2124013113239</v>
      </c>
      <c r="B70" s="30" t="s">
        <v>472</v>
      </c>
      <c r="C70" s="26" t="s">
        <v>327</v>
      </c>
      <c r="D70" s="30">
        <v>311</v>
      </c>
      <c r="E70" s="30" t="str">
        <f>LEFT(H70,1)</f>
        <v>3</v>
      </c>
      <c r="F70" s="30" t="str">
        <f>LEFT(H70,2)</f>
        <v>32</v>
      </c>
      <c r="G70" s="26" t="str">
        <f t="shared" ref="G70:G141" si="54">LEFT(H70,3)</f>
        <v>323</v>
      </c>
      <c r="H70" s="86" t="s">
        <v>126</v>
      </c>
      <c r="I70" s="86" t="s">
        <v>128</v>
      </c>
      <c r="J70" s="87">
        <v>0</v>
      </c>
      <c r="K70" s="87">
        <v>18300</v>
      </c>
      <c r="L70" s="87">
        <v>1492</v>
      </c>
      <c r="M70" s="87">
        <v>0</v>
      </c>
      <c r="N70" s="87">
        <v>8.1530054644808736</v>
      </c>
      <c r="O70" s="31"/>
      <c r="T70" s="25" t="str">
        <f t="shared" si="6"/>
        <v>A2124013113239</v>
      </c>
    </row>
    <row r="71" spans="1:20" ht="24.95" customHeight="1" collapsed="1" x14ac:dyDescent="0.2">
      <c r="B71" s="30" t="s">
        <v>472</v>
      </c>
      <c r="H71" s="230" t="s">
        <v>129</v>
      </c>
      <c r="I71" s="230"/>
      <c r="J71" s="79">
        <v>338489.51999999996</v>
      </c>
      <c r="K71" s="79">
        <v>954200</v>
      </c>
      <c r="L71" s="79">
        <v>359923.14</v>
      </c>
      <c r="M71" s="79">
        <v>106.33213695951356</v>
      </c>
      <c r="N71" s="79">
        <v>37.719884720184446</v>
      </c>
    </row>
    <row r="72" spans="1:20" ht="20.100000000000001" hidden="1" customHeight="1" outlineLevel="1" x14ac:dyDescent="0.2">
      <c r="A72" s="25" t="str">
        <f t="shared" si="50"/>
        <v>A2124014313211</v>
      </c>
      <c r="B72" s="30" t="s">
        <v>472</v>
      </c>
      <c r="C72" s="26" t="s">
        <v>327</v>
      </c>
      <c r="D72" s="30">
        <v>431</v>
      </c>
      <c r="E72" s="30" t="str">
        <f t="shared" ref="E72:E98" si="55">LEFT(H72,1)</f>
        <v>3</v>
      </c>
      <c r="F72" s="30" t="str">
        <f t="shared" ref="F72:F98" si="56">LEFT(H72,2)</f>
        <v>32</v>
      </c>
      <c r="G72" s="26" t="str">
        <f t="shared" si="54"/>
        <v>321</v>
      </c>
      <c r="H72" s="86" t="s">
        <v>130</v>
      </c>
      <c r="I72" s="86" t="s">
        <v>132</v>
      </c>
      <c r="J72" s="87">
        <v>2581.08</v>
      </c>
      <c r="K72" s="87">
        <v>22000</v>
      </c>
      <c r="L72" s="87">
        <v>8658.1299999999992</v>
      </c>
      <c r="M72" s="87">
        <v>335.44601484649831</v>
      </c>
      <c r="N72" s="87">
        <v>39.355136363636362</v>
      </c>
      <c r="O72" s="31"/>
      <c r="T72" s="25" t="str">
        <f t="shared" si="6"/>
        <v>A2124014313211</v>
      </c>
    </row>
    <row r="73" spans="1:20" ht="20.100000000000001" hidden="1" customHeight="1" outlineLevel="1" x14ac:dyDescent="0.2">
      <c r="A73" s="25" t="str">
        <f t="shared" si="50"/>
        <v>A2124014313212</v>
      </c>
      <c r="B73" s="30" t="s">
        <v>472</v>
      </c>
      <c r="C73" s="26" t="s">
        <v>327</v>
      </c>
      <c r="D73" s="30">
        <v>431</v>
      </c>
      <c r="E73" s="30" t="str">
        <f>LEFT(H73,1)</f>
        <v>3</v>
      </c>
      <c r="F73" s="30" t="str">
        <f>LEFT(H73,2)</f>
        <v>32</v>
      </c>
      <c r="G73" s="26" t="str">
        <f>LEFT(H73,3)</f>
        <v>321</v>
      </c>
      <c r="H73" s="95">
        <v>3212</v>
      </c>
      <c r="I73" s="86" t="s">
        <v>68</v>
      </c>
      <c r="J73" s="87">
        <v>0</v>
      </c>
      <c r="K73" s="87">
        <v>0</v>
      </c>
      <c r="L73" s="87">
        <v>0</v>
      </c>
      <c r="M73" s="87">
        <v>0</v>
      </c>
      <c r="N73" s="87">
        <v>0</v>
      </c>
      <c r="O73" s="31"/>
      <c r="T73" s="25" t="str">
        <f t="shared" si="6"/>
        <v>A2124014313212</v>
      </c>
    </row>
    <row r="74" spans="1:20" ht="20.100000000000001" hidden="1" customHeight="1" outlineLevel="1" x14ac:dyDescent="0.2">
      <c r="A74" s="25" t="str">
        <f t="shared" si="50"/>
        <v>A2124014313213</v>
      </c>
      <c r="B74" s="30" t="s">
        <v>472</v>
      </c>
      <c r="C74" s="26" t="s">
        <v>327</v>
      </c>
      <c r="D74" s="30">
        <v>431</v>
      </c>
      <c r="E74" s="30" t="str">
        <f t="shared" si="55"/>
        <v>3</v>
      </c>
      <c r="F74" s="30" t="str">
        <f t="shared" si="56"/>
        <v>32</v>
      </c>
      <c r="G74" s="26" t="str">
        <f t="shared" si="54"/>
        <v>321</v>
      </c>
      <c r="H74" s="86" t="s">
        <v>69</v>
      </c>
      <c r="I74" s="86" t="s">
        <v>71</v>
      </c>
      <c r="J74" s="87">
        <v>480</v>
      </c>
      <c r="K74" s="87">
        <v>5000</v>
      </c>
      <c r="L74" s="87">
        <v>623.79999999999995</v>
      </c>
      <c r="M74" s="87">
        <v>129.95833333333334</v>
      </c>
      <c r="N74" s="87">
        <v>12.475999999999999</v>
      </c>
      <c r="O74" s="31"/>
      <c r="T74" s="25" t="str">
        <f t="shared" ref="T74:T98" si="57">CONCATENATE(C74,D74,H74)</f>
        <v>A2124014313213</v>
      </c>
    </row>
    <row r="75" spans="1:20" ht="20.100000000000001" hidden="1" customHeight="1" outlineLevel="1" x14ac:dyDescent="0.2">
      <c r="A75" s="25" t="str">
        <f t="shared" si="50"/>
        <v>A2124014313221</v>
      </c>
      <c r="B75" s="30" t="s">
        <v>472</v>
      </c>
      <c r="C75" s="26" t="s">
        <v>327</v>
      </c>
      <c r="D75" s="30">
        <v>431</v>
      </c>
      <c r="E75" s="30" t="str">
        <f t="shared" si="55"/>
        <v>3</v>
      </c>
      <c r="F75" s="30" t="str">
        <f t="shared" si="56"/>
        <v>32</v>
      </c>
      <c r="G75" s="26" t="str">
        <f t="shared" si="54"/>
        <v>322</v>
      </c>
      <c r="H75" s="86" t="s">
        <v>72</v>
      </c>
      <c r="I75" s="86" t="s">
        <v>74</v>
      </c>
      <c r="J75" s="87">
        <v>27743.02</v>
      </c>
      <c r="K75" s="87">
        <v>73000</v>
      </c>
      <c r="L75" s="87">
        <v>22442.54</v>
      </c>
      <c r="M75" s="87">
        <v>80.894365501664922</v>
      </c>
      <c r="N75" s="87">
        <v>30.743205479452058</v>
      </c>
      <c r="O75" s="31"/>
      <c r="T75" s="25" t="str">
        <f t="shared" si="57"/>
        <v>A2124014313221</v>
      </c>
    </row>
    <row r="76" spans="1:20" ht="20.100000000000001" hidden="1" customHeight="1" outlineLevel="1" x14ac:dyDescent="0.2">
      <c r="A76" s="25" t="str">
        <f t="shared" si="50"/>
        <v>A2124014313222</v>
      </c>
      <c r="B76" s="30" t="s">
        <v>472</v>
      </c>
      <c r="C76" s="26" t="s">
        <v>327</v>
      </c>
      <c r="D76" s="30">
        <v>431</v>
      </c>
      <c r="E76" s="30" t="str">
        <f t="shared" si="55"/>
        <v>3</v>
      </c>
      <c r="F76" s="30" t="str">
        <f t="shared" si="56"/>
        <v>32</v>
      </c>
      <c r="G76" s="26" t="str">
        <f t="shared" si="54"/>
        <v>322</v>
      </c>
      <c r="H76" s="86" t="s">
        <v>75</v>
      </c>
      <c r="I76" s="86" t="s">
        <v>77</v>
      </c>
      <c r="J76" s="87">
        <v>5208.2299999999996</v>
      </c>
      <c r="K76" s="87">
        <v>54000</v>
      </c>
      <c r="L76" s="87">
        <v>16053.87</v>
      </c>
      <c r="M76" s="87">
        <v>308.24041948992272</v>
      </c>
      <c r="N76" s="87">
        <v>29.729388888888892</v>
      </c>
      <c r="O76" s="31"/>
      <c r="T76" s="25" t="str">
        <f t="shared" si="57"/>
        <v>A2124014313222</v>
      </c>
    </row>
    <row r="77" spans="1:20" ht="20.100000000000001" hidden="1" customHeight="1" outlineLevel="1" x14ac:dyDescent="0.2">
      <c r="A77" s="25" t="str">
        <f t="shared" si="50"/>
        <v>A2124014313223</v>
      </c>
      <c r="B77" s="30" t="s">
        <v>472</v>
      </c>
      <c r="C77" s="26" t="s">
        <v>327</v>
      </c>
      <c r="D77" s="30">
        <v>431</v>
      </c>
      <c r="E77" s="30" t="str">
        <f>LEFT(H77,1)</f>
        <v>3</v>
      </c>
      <c r="F77" s="30" t="str">
        <f>LEFT(H77,2)</f>
        <v>32</v>
      </c>
      <c r="G77" s="26" t="str">
        <f>LEFT(H77,3)</f>
        <v>322</v>
      </c>
      <c r="H77" s="95">
        <v>3223</v>
      </c>
      <c r="I77" s="86" t="s">
        <v>80</v>
      </c>
      <c r="J77" s="87">
        <v>0</v>
      </c>
      <c r="K77" s="87">
        <v>0</v>
      </c>
      <c r="L77" s="87">
        <v>0</v>
      </c>
      <c r="M77" s="87">
        <v>0</v>
      </c>
      <c r="N77" s="87">
        <v>0</v>
      </c>
      <c r="O77" s="31"/>
      <c r="T77" s="25" t="str">
        <f t="shared" si="57"/>
        <v>A2124014313223</v>
      </c>
    </row>
    <row r="78" spans="1:20" ht="20.100000000000001" hidden="1" customHeight="1" outlineLevel="1" x14ac:dyDescent="0.2">
      <c r="A78" s="25" t="str">
        <f t="shared" si="50"/>
        <v>A2124014313224</v>
      </c>
      <c r="B78" s="30" t="s">
        <v>472</v>
      </c>
      <c r="C78" s="26" t="s">
        <v>327</v>
      </c>
      <c r="D78" s="30">
        <v>431</v>
      </c>
      <c r="E78" s="30" t="str">
        <f t="shared" si="55"/>
        <v>3</v>
      </c>
      <c r="F78" s="30" t="str">
        <f t="shared" si="56"/>
        <v>32</v>
      </c>
      <c r="G78" s="26" t="str">
        <f t="shared" si="54"/>
        <v>322</v>
      </c>
      <c r="H78" s="86" t="s">
        <v>81</v>
      </c>
      <c r="I78" s="86" t="s">
        <v>83</v>
      </c>
      <c r="J78" s="87">
        <v>13721.75</v>
      </c>
      <c r="K78" s="87">
        <v>20000</v>
      </c>
      <c r="L78" s="87">
        <v>12257.66</v>
      </c>
      <c r="M78" s="87">
        <v>89.330151037586319</v>
      </c>
      <c r="N78" s="87">
        <v>61.288299999999992</v>
      </c>
      <c r="O78" s="31"/>
      <c r="T78" s="25" t="str">
        <f t="shared" si="57"/>
        <v>A2124014313224</v>
      </c>
    </row>
    <row r="79" spans="1:20" ht="20.100000000000001" hidden="1" customHeight="1" outlineLevel="1" x14ac:dyDescent="0.2">
      <c r="A79" s="25" t="str">
        <f t="shared" si="50"/>
        <v>A2124014313225</v>
      </c>
      <c r="B79" s="30" t="s">
        <v>472</v>
      </c>
      <c r="C79" s="26" t="s">
        <v>327</v>
      </c>
      <c r="D79" s="30">
        <v>431</v>
      </c>
      <c r="E79" s="30" t="str">
        <f t="shared" si="55"/>
        <v>3</v>
      </c>
      <c r="F79" s="30" t="str">
        <f t="shared" si="56"/>
        <v>32</v>
      </c>
      <c r="G79" s="26" t="str">
        <f t="shared" si="54"/>
        <v>322</v>
      </c>
      <c r="H79" s="86" t="s">
        <v>84</v>
      </c>
      <c r="I79" s="86" t="s">
        <v>86</v>
      </c>
      <c r="J79" s="87">
        <v>502.1</v>
      </c>
      <c r="K79" s="87">
        <v>5000</v>
      </c>
      <c r="L79" s="87">
        <v>1640.09</v>
      </c>
      <c r="M79" s="87">
        <v>326.64608643696471</v>
      </c>
      <c r="N79" s="87">
        <v>32.8018</v>
      </c>
      <c r="O79" s="31"/>
      <c r="T79" s="25" t="str">
        <f t="shared" si="57"/>
        <v>A2124014313225</v>
      </c>
    </row>
    <row r="80" spans="1:20" ht="20.100000000000001" hidden="1" customHeight="1" outlineLevel="1" x14ac:dyDescent="0.2">
      <c r="A80" s="25" t="str">
        <f t="shared" si="50"/>
        <v>A2124014313227</v>
      </c>
      <c r="B80" s="30" t="s">
        <v>472</v>
      </c>
      <c r="C80" s="26" t="s">
        <v>327</v>
      </c>
      <c r="D80" s="30">
        <v>431</v>
      </c>
      <c r="E80" s="30" t="str">
        <f t="shared" si="55"/>
        <v>3</v>
      </c>
      <c r="F80" s="30" t="str">
        <f t="shared" si="56"/>
        <v>32</v>
      </c>
      <c r="G80" s="26" t="str">
        <f t="shared" si="54"/>
        <v>322</v>
      </c>
      <c r="H80" s="86" t="s">
        <v>138</v>
      </c>
      <c r="I80" s="86" t="s">
        <v>140</v>
      </c>
      <c r="J80" s="87">
        <v>0</v>
      </c>
      <c r="K80" s="87">
        <v>500</v>
      </c>
      <c r="L80" s="87">
        <v>956.58</v>
      </c>
      <c r="M80" s="87">
        <v>0</v>
      </c>
      <c r="N80" s="87">
        <v>191.316</v>
      </c>
      <c r="O80" s="31"/>
      <c r="T80" s="25" t="str">
        <f t="shared" si="57"/>
        <v>A2124014313227</v>
      </c>
    </row>
    <row r="81" spans="1:20" ht="20.100000000000001" hidden="1" customHeight="1" outlineLevel="1" x14ac:dyDescent="0.2">
      <c r="A81" s="25" t="str">
        <f t="shared" si="50"/>
        <v>A2124014313231</v>
      </c>
      <c r="B81" s="30" t="s">
        <v>472</v>
      </c>
      <c r="C81" s="26" t="s">
        <v>327</v>
      </c>
      <c r="D81" s="30">
        <v>431</v>
      </c>
      <c r="E81" s="30" t="str">
        <f t="shared" si="55"/>
        <v>3</v>
      </c>
      <c r="F81" s="30" t="str">
        <f t="shared" si="56"/>
        <v>32</v>
      </c>
      <c r="G81" s="26" t="str">
        <f t="shared" si="54"/>
        <v>323</v>
      </c>
      <c r="H81" s="86" t="s">
        <v>87</v>
      </c>
      <c r="I81" s="86" t="s">
        <v>89</v>
      </c>
      <c r="J81" s="87">
        <v>23222.16</v>
      </c>
      <c r="K81" s="87">
        <v>76000</v>
      </c>
      <c r="L81" s="87">
        <v>33265.32</v>
      </c>
      <c r="M81" s="87">
        <v>143.2481732965409</v>
      </c>
      <c r="N81" s="87">
        <v>43.770157894736847</v>
      </c>
      <c r="O81" s="31"/>
      <c r="T81" s="25" t="str">
        <f t="shared" si="57"/>
        <v>A2124014313231</v>
      </c>
    </row>
    <row r="82" spans="1:20" ht="20.100000000000001" hidden="1" customHeight="1" outlineLevel="1" x14ac:dyDescent="0.2">
      <c r="A82" s="25" t="str">
        <f t="shared" si="50"/>
        <v>A2124014313232</v>
      </c>
      <c r="B82" s="30" t="s">
        <v>472</v>
      </c>
      <c r="C82" s="26" t="s">
        <v>327</v>
      </c>
      <c r="D82" s="30">
        <v>431</v>
      </c>
      <c r="E82" s="30" t="str">
        <f t="shared" si="55"/>
        <v>3</v>
      </c>
      <c r="F82" s="30" t="str">
        <f t="shared" si="56"/>
        <v>32</v>
      </c>
      <c r="G82" s="26" t="str">
        <f t="shared" si="54"/>
        <v>323</v>
      </c>
      <c r="H82" s="86" t="s">
        <v>38</v>
      </c>
      <c r="I82" s="86" t="s">
        <v>40</v>
      </c>
      <c r="J82" s="87">
        <v>36974.36</v>
      </c>
      <c r="K82" s="87">
        <v>180000</v>
      </c>
      <c r="L82" s="87">
        <v>114394.24000000001</v>
      </c>
      <c r="M82" s="87">
        <v>309.38801915705915</v>
      </c>
      <c r="N82" s="87">
        <v>63.552355555555565</v>
      </c>
      <c r="O82" s="31"/>
      <c r="T82" s="25" t="str">
        <f t="shared" si="57"/>
        <v>A2124014313232</v>
      </c>
    </row>
    <row r="83" spans="1:20" ht="20.100000000000001" hidden="1" customHeight="1" outlineLevel="1" x14ac:dyDescent="0.2">
      <c r="A83" s="25" t="str">
        <f t="shared" si="50"/>
        <v>A2124014313233</v>
      </c>
      <c r="B83" s="30" t="s">
        <v>472</v>
      </c>
      <c r="C83" s="26" t="s">
        <v>327</v>
      </c>
      <c r="D83" s="30">
        <v>431</v>
      </c>
      <c r="E83" s="30" t="str">
        <f t="shared" si="55"/>
        <v>3</v>
      </c>
      <c r="F83" s="30" t="str">
        <f t="shared" si="56"/>
        <v>32</v>
      </c>
      <c r="G83" s="26" t="str">
        <f t="shared" si="54"/>
        <v>323</v>
      </c>
      <c r="H83" s="86" t="s">
        <v>91</v>
      </c>
      <c r="I83" s="86" t="s">
        <v>93</v>
      </c>
      <c r="J83" s="87">
        <v>324.66000000000003</v>
      </c>
      <c r="K83" s="87">
        <v>18000</v>
      </c>
      <c r="L83" s="87">
        <v>0</v>
      </c>
      <c r="M83" s="87">
        <v>0</v>
      </c>
      <c r="N83" s="87">
        <v>0</v>
      </c>
      <c r="O83" s="31"/>
      <c r="T83" s="25" t="str">
        <f t="shared" si="57"/>
        <v>A2124014313233</v>
      </c>
    </row>
    <row r="84" spans="1:20" ht="20.100000000000001" hidden="1" customHeight="1" outlineLevel="1" x14ac:dyDescent="0.2">
      <c r="A84" s="25" t="str">
        <f t="shared" si="50"/>
        <v>A2124014313234</v>
      </c>
      <c r="B84" s="30" t="s">
        <v>472</v>
      </c>
      <c r="C84" s="26" t="s">
        <v>327</v>
      </c>
      <c r="D84" s="30">
        <v>431</v>
      </c>
      <c r="E84" s="30" t="str">
        <f t="shared" si="55"/>
        <v>3</v>
      </c>
      <c r="F84" s="30" t="str">
        <f t="shared" si="56"/>
        <v>32</v>
      </c>
      <c r="G84" s="26" t="str">
        <f t="shared" si="54"/>
        <v>323</v>
      </c>
      <c r="H84" s="86" t="s">
        <v>94</v>
      </c>
      <c r="I84" s="86" t="s">
        <v>96</v>
      </c>
      <c r="J84" s="87">
        <v>0</v>
      </c>
      <c r="K84" s="87">
        <v>20000</v>
      </c>
      <c r="L84" s="87">
        <v>186.49999999998499</v>
      </c>
      <c r="M84" s="87">
        <v>0</v>
      </c>
      <c r="N84" s="87">
        <v>0.93249999999992483</v>
      </c>
      <c r="O84" s="31"/>
      <c r="T84" s="25" t="str">
        <f t="shared" si="57"/>
        <v>A2124014313234</v>
      </c>
    </row>
    <row r="85" spans="1:20" ht="20.100000000000001" hidden="1" customHeight="1" outlineLevel="1" x14ac:dyDescent="0.2">
      <c r="A85" s="25" t="str">
        <f t="shared" si="50"/>
        <v>A2124014313235</v>
      </c>
      <c r="B85" s="30" t="s">
        <v>472</v>
      </c>
      <c r="C85" s="26" t="s">
        <v>327</v>
      </c>
      <c r="D85" s="30">
        <v>431</v>
      </c>
      <c r="E85" s="30" t="str">
        <f t="shared" si="55"/>
        <v>3</v>
      </c>
      <c r="F85" s="30" t="str">
        <f t="shared" si="56"/>
        <v>32</v>
      </c>
      <c r="G85" s="26" t="str">
        <f t="shared" si="54"/>
        <v>323</v>
      </c>
      <c r="H85" s="86" t="s">
        <v>97</v>
      </c>
      <c r="I85" s="86" t="s">
        <v>99</v>
      </c>
      <c r="J85" s="87">
        <v>89010.57</v>
      </c>
      <c r="K85" s="87">
        <v>130000</v>
      </c>
      <c r="L85" s="87">
        <v>740</v>
      </c>
      <c r="M85" s="87">
        <v>0.83136193825070426</v>
      </c>
      <c r="N85" s="87">
        <v>0.56923076923076932</v>
      </c>
      <c r="O85" s="31"/>
      <c r="T85" s="25" t="str">
        <f t="shared" si="57"/>
        <v>A2124014313235</v>
      </c>
    </row>
    <row r="86" spans="1:20" ht="20.100000000000001" hidden="1" customHeight="1" outlineLevel="1" x14ac:dyDescent="0.2">
      <c r="A86" s="25" t="str">
        <f t="shared" si="50"/>
        <v>A2124014313236</v>
      </c>
      <c r="B86" s="30" t="s">
        <v>472</v>
      </c>
      <c r="C86" s="26" t="s">
        <v>327</v>
      </c>
      <c r="D86" s="30">
        <v>431</v>
      </c>
      <c r="E86" s="30" t="str">
        <f t="shared" si="55"/>
        <v>3</v>
      </c>
      <c r="F86" s="30" t="str">
        <f t="shared" si="56"/>
        <v>32</v>
      </c>
      <c r="G86" s="26" t="str">
        <f t="shared" si="54"/>
        <v>323</v>
      </c>
      <c r="H86" s="86" t="s">
        <v>100</v>
      </c>
      <c r="I86" s="86" t="s">
        <v>102</v>
      </c>
      <c r="J86" s="87">
        <v>0</v>
      </c>
      <c r="K86" s="87">
        <v>0</v>
      </c>
      <c r="L86" s="87">
        <v>0</v>
      </c>
      <c r="M86" s="87">
        <v>0</v>
      </c>
      <c r="N86" s="87">
        <v>0</v>
      </c>
      <c r="O86" s="31"/>
      <c r="T86" s="25" t="str">
        <f t="shared" si="57"/>
        <v>A2124014313236</v>
      </c>
    </row>
    <row r="87" spans="1:20" ht="20.100000000000001" hidden="1" customHeight="1" outlineLevel="1" x14ac:dyDescent="0.2">
      <c r="A87" s="25" t="str">
        <f t="shared" si="50"/>
        <v>A2124014313237</v>
      </c>
      <c r="B87" s="30" t="s">
        <v>472</v>
      </c>
      <c r="C87" s="26" t="s">
        <v>327</v>
      </c>
      <c r="D87" s="30">
        <v>431</v>
      </c>
      <c r="E87" s="30" t="str">
        <f t="shared" si="55"/>
        <v>3</v>
      </c>
      <c r="F87" s="30" t="str">
        <f t="shared" si="56"/>
        <v>32</v>
      </c>
      <c r="G87" s="26" t="str">
        <f t="shared" si="54"/>
        <v>323</v>
      </c>
      <c r="H87" s="86" t="s">
        <v>41</v>
      </c>
      <c r="I87" s="86" t="s">
        <v>43</v>
      </c>
      <c r="J87" s="87">
        <v>14371.21</v>
      </c>
      <c r="K87" s="87">
        <v>39000</v>
      </c>
      <c r="L87" s="87">
        <v>26336.26</v>
      </c>
      <c r="M87" s="87">
        <v>183.25708134527295</v>
      </c>
      <c r="N87" s="87">
        <v>67.52887179487179</v>
      </c>
      <c r="O87" s="31"/>
      <c r="T87" s="25" t="str">
        <f t="shared" si="57"/>
        <v>A2124014313237</v>
      </c>
    </row>
    <row r="88" spans="1:20" ht="20.100000000000001" hidden="1" customHeight="1" outlineLevel="1" x14ac:dyDescent="0.2">
      <c r="A88" s="25" t="str">
        <f t="shared" si="50"/>
        <v>A2124014313238</v>
      </c>
      <c r="B88" s="30" t="s">
        <v>472</v>
      </c>
      <c r="C88" s="26" t="s">
        <v>327</v>
      </c>
      <c r="D88" s="30">
        <v>431</v>
      </c>
      <c r="E88" s="30" t="str">
        <f t="shared" si="55"/>
        <v>3</v>
      </c>
      <c r="F88" s="30" t="str">
        <f t="shared" si="56"/>
        <v>32</v>
      </c>
      <c r="G88" s="26" t="str">
        <f t="shared" si="54"/>
        <v>323</v>
      </c>
      <c r="H88" s="86" t="s">
        <v>104</v>
      </c>
      <c r="I88" s="86" t="s">
        <v>106</v>
      </c>
      <c r="J88" s="87">
        <v>38043.83</v>
      </c>
      <c r="K88" s="87">
        <v>148000</v>
      </c>
      <c r="L88" s="87">
        <v>35469.14</v>
      </c>
      <c r="M88" s="87">
        <v>93.232306000736514</v>
      </c>
      <c r="N88" s="87">
        <v>23.965635135135134</v>
      </c>
      <c r="O88" s="31"/>
      <c r="T88" s="25" t="str">
        <f t="shared" si="57"/>
        <v>A2124014313238</v>
      </c>
    </row>
    <row r="89" spans="1:20" ht="20.100000000000001" hidden="1" customHeight="1" outlineLevel="1" x14ac:dyDescent="0.2">
      <c r="A89" s="25" t="str">
        <f t="shared" si="50"/>
        <v>A2124014313239</v>
      </c>
      <c r="B89" s="30" t="s">
        <v>472</v>
      </c>
      <c r="C89" s="26" t="s">
        <v>327</v>
      </c>
      <c r="D89" s="30">
        <v>431</v>
      </c>
      <c r="E89" s="30" t="str">
        <f t="shared" si="55"/>
        <v>3</v>
      </c>
      <c r="F89" s="30" t="str">
        <f t="shared" si="56"/>
        <v>32</v>
      </c>
      <c r="G89" s="26" t="str">
        <f t="shared" si="54"/>
        <v>323</v>
      </c>
      <c r="H89" s="86" t="s">
        <v>126</v>
      </c>
      <c r="I89" s="86" t="s">
        <v>128</v>
      </c>
      <c r="J89" s="87">
        <v>55972.67</v>
      </c>
      <c r="K89" s="87">
        <v>106200</v>
      </c>
      <c r="L89" s="87">
        <v>52571.12</v>
      </c>
      <c r="M89" s="87">
        <v>93.922837699184271</v>
      </c>
      <c r="N89" s="87">
        <v>49.501996233521659</v>
      </c>
      <c r="O89" s="31"/>
      <c r="T89" s="25" t="str">
        <f t="shared" si="57"/>
        <v>A2124014313239</v>
      </c>
    </row>
    <row r="90" spans="1:20" ht="20.100000000000001" hidden="1" customHeight="1" outlineLevel="1" x14ac:dyDescent="0.2">
      <c r="A90" s="25" t="str">
        <f t="shared" si="50"/>
        <v>A2124014313241</v>
      </c>
      <c r="B90" s="30" t="s">
        <v>472</v>
      </c>
      <c r="C90" s="26" t="s">
        <v>327</v>
      </c>
      <c r="D90" s="30">
        <v>431</v>
      </c>
      <c r="E90" s="30" t="str">
        <f t="shared" si="55"/>
        <v>3</v>
      </c>
      <c r="F90" s="30" t="str">
        <f t="shared" si="56"/>
        <v>32</v>
      </c>
      <c r="G90" s="26" t="str">
        <f t="shared" si="54"/>
        <v>324</v>
      </c>
      <c r="H90" s="86" t="s">
        <v>150</v>
      </c>
      <c r="I90" s="86" t="s">
        <v>152</v>
      </c>
      <c r="J90" s="87">
        <v>0</v>
      </c>
      <c r="K90" s="87">
        <v>0</v>
      </c>
      <c r="L90" s="87">
        <v>0</v>
      </c>
      <c r="M90" s="87">
        <v>0</v>
      </c>
      <c r="N90" s="87">
        <v>0</v>
      </c>
      <c r="O90" s="31"/>
      <c r="T90" s="25" t="str">
        <f t="shared" si="57"/>
        <v>A2124014313241</v>
      </c>
    </row>
    <row r="91" spans="1:20" ht="20.100000000000001" hidden="1" customHeight="1" outlineLevel="1" x14ac:dyDescent="0.2">
      <c r="A91" s="25" t="str">
        <f t="shared" si="50"/>
        <v>A2124014313291</v>
      </c>
      <c r="B91" s="30" t="s">
        <v>472</v>
      </c>
      <c r="C91" s="26" t="s">
        <v>327</v>
      </c>
      <c r="D91" s="30">
        <v>431</v>
      </c>
      <c r="E91" s="30" t="str">
        <f t="shared" ref="E91" si="58">LEFT(H91,1)</f>
        <v>3</v>
      </c>
      <c r="F91" s="30" t="str">
        <f t="shared" ref="F91" si="59">LEFT(H91,2)</f>
        <v>32</v>
      </c>
      <c r="G91" s="26" t="str">
        <f t="shared" ref="G91" si="60">LEFT(H91,3)</f>
        <v>329</v>
      </c>
      <c r="H91" s="212" t="s">
        <v>107</v>
      </c>
      <c r="I91" s="86" t="s">
        <v>109</v>
      </c>
      <c r="J91" s="87">
        <v>0</v>
      </c>
      <c r="K91" s="87">
        <v>0</v>
      </c>
      <c r="L91" s="87">
        <v>837.66</v>
      </c>
      <c r="M91" s="87">
        <v>0</v>
      </c>
      <c r="N91" s="87">
        <v>0</v>
      </c>
      <c r="O91" s="31"/>
      <c r="T91" s="25" t="str">
        <f t="shared" si="57"/>
        <v>A2124014313291</v>
      </c>
    </row>
    <row r="92" spans="1:20" ht="20.100000000000001" hidden="1" customHeight="1" outlineLevel="1" x14ac:dyDescent="0.2">
      <c r="A92" s="25" t="str">
        <f t="shared" si="50"/>
        <v>A2124014313292</v>
      </c>
      <c r="B92" s="30" t="s">
        <v>472</v>
      </c>
      <c r="C92" s="26" t="s">
        <v>327</v>
      </c>
      <c r="D92" s="30">
        <v>431</v>
      </c>
      <c r="E92" s="30" t="str">
        <f t="shared" si="55"/>
        <v>3</v>
      </c>
      <c r="F92" s="30" t="str">
        <f t="shared" si="56"/>
        <v>32</v>
      </c>
      <c r="G92" s="26" t="str">
        <f t="shared" si="54"/>
        <v>329</v>
      </c>
      <c r="H92" s="86" t="s">
        <v>110</v>
      </c>
      <c r="I92" s="86" t="s">
        <v>112</v>
      </c>
      <c r="J92" s="87">
        <v>2923.76</v>
      </c>
      <c r="K92" s="87">
        <v>4000</v>
      </c>
      <c r="L92" s="87">
        <v>4396.84</v>
      </c>
      <c r="M92" s="87">
        <v>150.3830683777054</v>
      </c>
      <c r="N92" s="87">
        <v>109.92100000000001</v>
      </c>
      <c r="O92" s="31"/>
      <c r="T92" s="25" t="str">
        <f t="shared" si="57"/>
        <v>A2124014313292</v>
      </c>
    </row>
    <row r="93" spans="1:20" ht="20.100000000000001" hidden="1" customHeight="1" outlineLevel="1" x14ac:dyDescent="0.2">
      <c r="A93" s="25" t="str">
        <f t="shared" si="50"/>
        <v>A2124014313293</v>
      </c>
      <c r="B93" s="30" t="s">
        <v>472</v>
      </c>
      <c r="C93" s="26" t="s">
        <v>327</v>
      </c>
      <c r="D93" s="30">
        <v>431</v>
      </c>
      <c r="E93" s="30" t="str">
        <f t="shared" si="55"/>
        <v>3</v>
      </c>
      <c r="F93" s="30" t="str">
        <f t="shared" si="56"/>
        <v>32</v>
      </c>
      <c r="G93" s="26" t="str">
        <f t="shared" si="54"/>
        <v>329</v>
      </c>
      <c r="H93" s="86" t="s">
        <v>154</v>
      </c>
      <c r="I93" s="86" t="s">
        <v>156</v>
      </c>
      <c r="J93" s="87">
        <v>6090.69</v>
      </c>
      <c r="K93" s="87">
        <v>9000</v>
      </c>
      <c r="L93" s="87">
        <v>6514.59</v>
      </c>
      <c r="M93" s="87">
        <v>106.95980258394371</v>
      </c>
      <c r="N93" s="87">
        <v>72.384333333333345</v>
      </c>
      <c r="O93" s="31"/>
      <c r="T93" s="25" t="str">
        <f t="shared" si="57"/>
        <v>A2124014313293</v>
      </c>
    </row>
    <row r="94" spans="1:20" ht="20.100000000000001" hidden="1" customHeight="1" outlineLevel="1" x14ac:dyDescent="0.2">
      <c r="A94" s="25" t="str">
        <f t="shared" si="50"/>
        <v>A2124014313294</v>
      </c>
      <c r="B94" s="30" t="s">
        <v>472</v>
      </c>
      <c r="C94" s="26" t="s">
        <v>327</v>
      </c>
      <c r="D94" s="30">
        <v>431</v>
      </c>
      <c r="E94" s="30" t="str">
        <f t="shared" si="55"/>
        <v>3</v>
      </c>
      <c r="F94" s="30" t="str">
        <f t="shared" si="56"/>
        <v>32</v>
      </c>
      <c r="G94" s="26" t="str">
        <f t="shared" si="54"/>
        <v>329</v>
      </c>
      <c r="H94" s="86" t="s">
        <v>113</v>
      </c>
      <c r="I94" s="86" t="s">
        <v>115</v>
      </c>
      <c r="J94" s="87">
        <v>2329.94</v>
      </c>
      <c r="K94" s="87">
        <v>3300</v>
      </c>
      <c r="L94" s="87">
        <v>2391.06</v>
      </c>
      <c r="M94" s="87">
        <v>102.62324351700043</v>
      </c>
      <c r="N94" s="87">
        <v>72.456363636363633</v>
      </c>
      <c r="O94" s="31"/>
      <c r="T94" s="25" t="str">
        <f t="shared" si="57"/>
        <v>A2124014313294</v>
      </c>
    </row>
    <row r="95" spans="1:20" ht="20.100000000000001" hidden="1" customHeight="1" outlineLevel="1" x14ac:dyDescent="0.2">
      <c r="A95" s="25" t="str">
        <f t="shared" si="50"/>
        <v>A2124014313295</v>
      </c>
      <c r="B95" s="30" t="s">
        <v>472</v>
      </c>
      <c r="C95" s="26" t="s">
        <v>327</v>
      </c>
      <c r="D95" s="30">
        <v>431</v>
      </c>
      <c r="E95" s="30" t="str">
        <f t="shared" si="55"/>
        <v>3</v>
      </c>
      <c r="F95" s="30" t="str">
        <f t="shared" si="56"/>
        <v>32</v>
      </c>
      <c r="G95" s="26" t="str">
        <f t="shared" si="54"/>
        <v>329</v>
      </c>
      <c r="H95" s="86" t="s">
        <v>116</v>
      </c>
      <c r="I95" s="86" t="s">
        <v>118</v>
      </c>
      <c r="J95" s="87">
        <v>10419.06</v>
      </c>
      <c r="K95" s="87">
        <v>22500</v>
      </c>
      <c r="L95" s="87">
        <v>7798</v>
      </c>
      <c r="M95" s="87">
        <v>74.843603933560232</v>
      </c>
      <c r="N95" s="87">
        <v>34.657777777777774</v>
      </c>
      <c r="O95" s="31"/>
      <c r="T95" s="25" t="str">
        <f t="shared" si="57"/>
        <v>A2124014313295</v>
      </c>
    </row>
    <row r="96" spans="1:20" ht="20.100000000000001" hidden="1" customHeight="1" outlineLevel="1" x14ac:dyDescent="0.2">
      <c r="A96" s="25" t="str">
        <f t="shared" si="50"/>
        <v>A2124014313299</v>
      </c>
      <c r="B96" s="30" t="s">
        <v>472</v>
      </c>
      <c r="C96" s="26" t="s">
        <v>327</v>
      </c>
      <c r="D96" s="30">
        <v>431</v>
      </c>
      <c r="E96" s="30" t="str">
        <f t="shared" si="55"/>
        <v>3</v>
      </c>
      <c r="F96" s="30" t="str">
        <f t="shared" si="56"/>
        <v>32</v>
      </c>
      <c r="G96" s="26" t="str">
        <f t="shared" si="54"/>
        <v>329</v>
      </c>
      <c r="H96" s="86" t="s">
        <v>159</v>
      </c>
      <c r="I96" s="86" t="s">
        <v>161</v>
      </c>
      <c r="J96" s="87">
        <v>1390.07</v>
      </c>
      <c r="K96" s="87">
        <v>4000</v>
      </c>
      <c r="L96" s="87">
        <v>1216.76</v>
      </c>
      <c r="M96" s="87">
        <v>87.532282546922104</v>
      </c>
      <c r="N96" s="87">
        <v>30.419</v>
      </c>
      <c r="O96" s="31"/>
      <c r="T96" s="25" t="str">
        <f t="shared" si="57"/>
        <v>A2124014313299</v>
      </c>
    </row>
    <row r="97" spans="1:20" ht="20.100000000000001" hidden="1" customHeight="1" outlineLevel="1" x14ac:dyDescent="0.2">
      <c r="A97" s="25" t="str">
        <f t="shared" si="50"/>
        <v>A2124014313431</v>
      </c>
      <c r="B97" s="30" t="s">
        <v>472</v>
      </c>
      <c r="C97" s="26" t="s">
        <v>327</v>
      </c>
      <c r="D97" s="30">
        <v>431</v>
      </c>
      <c r="E97" s="30" t="str">
        <f t="shared" si="55"/>
        <v>3</v>
      </c>
      <c r="F97" s="30" t="str">
        <f t="shared" si="56"/>
        <v>34</v>
      </c>
      <c r="G97" s="26" t="str">
        <f t="shared" si="54"/>
        <v>343</v>
      </c>
      <c r="H97" s="86" t="s">
        <v>119</v>
      </c>
      <c r="I97" s="86" t="s">
        <v>121</v>
      </c>
      <c r="J97" s="87">
        <v>6966.45</v>
      </c>
      <c r="K97" s="87">
        <v>14600</v>
      </c>
      <c r="L97" s="87">
        <v>11103.71</v>
      </c>
      <c r="M97" s="87">
        <v>159.38835418326406</v>
      </c>
      <c r="N97" s="87">
        <v>76.052808219178075</v>
      </c>
      <c r="O97" s="31"/>
      <c r="T97" s="25" t="str">
        <f t="shared" si="57"/>
        <v>A2124014313431</v>
      </c>
    </row>
    <row r="98" spans="1:20" ht="20.100000000000001" hidden="1" customHeight="1" outlineLevel="1" x14ac:dyDescent="0.2">
      <c r="A98" s="25" t="str">
        <f t="shared" si="50"/>
        <v>A2124014313433</v>
      </c>
      <c r="B98" s="30" t="s">
        <v>472</v>
      </c>
      <c r="C98" s="26" t="s">
        <v>327</v>
      </c>
      <c r="D98" s="30">
        <v>431</v>
      </c>
      <c r="E98" s="30" t="str">
        <f t="shared" si="55"/>
        <v>3</v>
      </c>
      <c r="F98" s="30" t="str">
        <f t="shared" si="56"/>
        <v>34</v>
      </c>
      <c r="G98" s="26" t="str">
        <f t="shared" si="54"/>
        <v>343</v>
      </c>
      <c r="H98" s="86" t="s">
        <v>163</v>
      </c>
      <c r="I98" s="86" t="s">
        <v>165</v>
      </c>
      <c r="J98" s="87">
        <v>213.91</v>
      </c>
      <c r="K98" s="87">
        <v>100</v>
      </c>
      <c r="L98" s="87">
        <v>69.27</v>
      </c>
      <c r="M98" s="87">
        <v>32.382777803749242</v>
      </c>
      <c r="N98" s="87">
        <v>69.27</v>
      </c>
      <c r="O98" s="93" t="s">
        <v>347</v>
      </c>
      <c r="P98" s="94" t="s">
        <v>350</v>
      </c>
      <c r="Q98" s="94" t="s">
        <v>349</v>
      </c>
      <c r="T98" s="25" t="str">
        <f t="shared" si="57"/>
        <v>A2124014313433</v>
      </c>
    </row>
    <row r="99" spans="1:20" ht="24.95" customHeight="1" collapsed="1" x14ac:dyDescent="0.2">
      <c r="B99" s="30"/>
      <c r="H99" s="230" t="s">
        <v>581</v>
      </c>
      <c r="I99" s="230"/>
      <c r="J99" s="79">
        <v>0</v>
      </c>
      <c r="K99" s="79">
        <v>0</v>
      </c>
      <c r="L99" s="79">
        <v>0</v>
      </c>
      <c r="M99" s="79">
        <v>0</v>
      </c>
      <c r="N99" s="79">
        <v>0</v>
      </c>
    </row>
    <row r="100" spans="1:20" ht="20.100000000000001" hidden="1" customHeight="1" outlineLevel="1" x14ac:dyDescent="0.2">
      <c r="A100" s="25" t="str">
        <f t="shared" si="50"/>
        <v>A2124015103211</v>
      </c>
      <c r="B100" s="30" t="s">
        <v>472</v>
      </c>
      <c r="C100" s="26" t="s">
        <v>327</v>
      </c>
      <c r="D100" s="30">
        <v>510</v>
      </c>
      <c r="E100" s="30" t="str">
        <f>LEFT(H100,1)</f>
        <v>3</v>
      </c>
      <c r="F100" s="30" t="str">
        <f>LEFT(H100,2)</f>
        <v>32</v>
      </c>
      <c r="G100" s="26" t="str">
        <f t="shared" ref="G100:G105" si="61">LEFT(H100,3)</f>
        <v>321</v>
      </c>
      <c r="H100" s="86" t="s">
        <v>130</v>
      </c>
      <c r="I100" s="86" t="s">
        <v>132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31"/>
      <c r="T100" s="25" t="str">
        <f t="shared" ref="T100:T138" si="62">CONCATENATE(C100,D100,H100)</f>
        <v>A2124015103211</v>
      </c>
    </row>
    <row r="101" spans="1:20" ht="20.100000000000001" hidden="1" customHeight="1" outlineLevel="1" x14ac:dyDescent="0.2">
      <c r="A101" s="25" t="str">
        <f t="shared" si="50"/>
        <v>A2124015103213</v>
      </c>
      <c r="B101" s="30" t="s">
        <v>472</v>
      </c>
      <c r="C101" s="26" t="s">
        <v>327</v>
      </c>
      <c r="D101" s="30">
        <v>510</v>
      </c>
      <c r="E101" s="30" t="str">
        <f>LEFT(H101,1)</f>
        <v>3</v>
      </c>
      <c r="F101" s="30" t="str">
        <f>LEFT(H101,2)</f>
        <v>32</v>
      </c>
      <c r="G101" s="26" t="str">
        <f t="shared" si="61"/>
        <v>321</v>
      </c>
      <c r="H101" s="86" t="s">
        <v>69</v>
      </c>
      <c r="I101" s="86" t="s">
        <v>71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31"/>
      <c r="T101" s="25" t="str">
        <f t="shared" si="62"/>
        <v>A2124015103213</v>
      </c>
    </row>
    <row r="102" spans="1:20" ht="20.100000000000001" hidden="1" customHeight="1" outlineLevel="1" x14ac:dyDescent="0.2">
      <c r="A102" s="25" t="str">
        <f t="shared" si="50"/>
        <v>A2124015103232</v>
      </c>
      <c r="B102" s="30" t="s">
        <v>472</v>
      </c>
      <c r="C102" s="26" t="s">
        <v>327</v>
      </c>
      <c r="D102" s="30">
        <v>510</v>
      </c>
      <c r="E102" s="30" t="str">
        <f>LEFT(H102,1)</f>
        <v>3</v>
      </c>
      <c r="F102" s="30" t="str">
        <f>LEFT(H102,2)</f>
        <v>32</v>
      </c>
      <c r="G102" s="26" t="str">
        <f t="shared" si="61"/>
        <v>323</v>
      </c>
      <c r="H102" s="86" t="s">
        <v>38</v>
      </c>
      <c r="I102" s="86" t="s">
        <v>40</v>
      </c>
      <c r="J102" s="87">
        <v>0</v>
      </c>
      <c r="K102" s="87">
        <v>0</v>
      </c>
      <c r="L102" s="87">
        <v>0</v>
      </c>
      <c r="M102" s="87">
        <v>0</v>
      </c>
      <c r="N102" s="87">
        <v>0</v>
      </c>
      <c r="O102" s="31"/>
      <c r="T102" s="25" t="str">
        <f t="shared" si="62"/>
        <v>A2124015103232</v>
      </c>
    </row>
    <row r="103" spans="1:20" ht="20.100000000000001" hidden="1" customHeight="1" outlineLevel="1" x14ac:dyDescent="0.2">
      <c r="A103" s="25" t="str">
        <f t="shared" si="50"/>
        <v>A2124015103233</v>
      </c>
      <c r="B103" s="30" t="s">
        <v>472</v>
      </c>
      <c r="C103" s="26" t="s">
        <v>327</v>
      </c>
      <c r="D103" s="30">
        <v>510</v>
      </c>
      <c r="E103" s="30" t="str">
        <f>LEFT(H103,1)</f>
        <v>3</v>
      </c>
      <c r="F103" s="30" t="str">
        <f>LEFT(H103,2)</f>
        <v>32</v>
      </c>
      <c r="G103" s="26" t="str">
        <f t="shared" si="61"/>
        <v>323</v>
      </c>
      <c r="H103" s="86" t="s">
        <v>91</v>
      </c>
      <c r="I103" s="86" t="s">
        <v>93</v>
      </c>
      <c r="J103" s="87">
        <v>0</v>
      </c>
      <c r="K103" s="87">
        <v>0</v>
      </c>
      <c r="L103" s="87">
        <v>0</v>
      </c>
      <c r="M103" s="87">
        <v>0</v>
      </c>
      <c r="N103" s="87">
        <v>0</v>
      </c>
      <c r="O103" s="31"/>
      <c r="T103" s="25" t="str">
        <f t="shared" si="62"/>
        <v>A2124015103233</v>
      </c>
    </row>
    <row r="104" spans="1:20" ht="20.100000000000001" hidden="1" customHeight="1" outlineLevel="1" x14ac:dyDescent="0.2">
      <c r="A104" s="25" t="str">
        <f t="shared" si="50"/>
        <v>A2124015103237</v>
      </c>
      <c r="B104" s="30" t="s">
        <v>472</v>
      </c>
      <c r="C104" s="26" t="s">
        <v>327</v>
      </c>
      <c r="D104" s="30">
        <v>510</v>
      </c>
      <c r="E104" s="30" t="str">
        <f t="shared" ref="E104" si="63">LEFT(H104,1)</f>
        <v>3</v>
      </c>
      <c r="F104" s="30" t="str">
        <f t="shared" ref="F104" si="64">LEFT(H104,2)</f>
        <v>32</v>
      </c>
      <c r="G104" s="26" t="str">
        <f t="shared" si="61"/>
        <v>323</v>
      </c>
      <c r="H104" s="86" t="s">
        <v>41</v>
      </c>
      <c r="I104" s="86" t="s">
        <v>43</v>
      </c>
      <c r="J104" s="87">
        <v>0</v>
      </c>
      <c r="K104" s="87">
        <v>0</v>
      </c>
      <c r="L104" s="87">
        <v>0</v>
      </c>
      <c r="M104" s="87">
        <v>0</v>
      </c>
      <c r="N104" s="87">
        <v>0</v>
      </c>
      <c r="O104" s="31"/>
      <c r="T104" s="25" t="str">
        <f t="shared" si="62"/>
        <v>A2124015103237</v>
      </c>
    </row>
    <row r="105" spans="1:20" ht="20.100000000000001" hidden="1" customHeight="1" outlineLevel="1" x14ac:dyDescent="0.2">
      <c r="A105" s="25" t="str">
        <f t="shared" si="50"/>
        <v>A2124015103293</v>
      </c>
      <c r="B105" s="30" t="s">
        <v>472</v>
      </c>
      <c r="C105" s="26" t="s">
        <v>327</v>
      </c>
      <c r="D105" s="30">
        <v>510</v>
      </c>
      <c r="E105" s="30" t="str">
        <f>LEFT(H105,1)</f>
        <v>3</v>
      </c>
      <c r="F105" s="30" t="str">
        <f>LEFT(H105,2)</f>
        <v>32</v>
      </c>
      <c r="G105" s="26" t="str">
        <f t="shared" si="61"/>
        <v>329</v>
      </c>
      <c r="H105" s="86" t="s">
        <v>154</v>
      </c>
      <c r="I105" s="86" t="s">
        <v>156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31"/>
      <c r="T105" s="25" t="str">
        <f t="shared" si="62"/>
        <v>A2124015103293</v>
      </c>
    </row>
    <row r="106" spans="1:20" ht="24.95" customHeight="1" collapsed="1" x14ac:dyDescent="0.2">
      <c r="B106" s="30"/>
      <c r="H106" s="230" t="s">
        <v>26</v>
      </c>
      <c r="I106" s="230"/>
      <c r="J106" s="79">
        <v>403824.67999999976</v>
      </c>
      <c r="K106" s="79">
        <v>859400</v>
      </c>
      <c r="L106" s="79">
        <v>460465.05</v>
      </c>
      <c r="M106" s="79">
        <v>114.02598028431552</v>
      </c>
      <c r="N106" s="79">
        <v>53.579828950430532</v>
      </c>
      <c r="O106" s="25">
        <f>SUMIFS(O107:O297,$C107:$C297,"A212401",$D107:$D297,"521")</f>
        <v>178397.38999999998</v>
      </c>
      <c r="P106" s="25">
        <f>SUMIFS(P107:P297,$C107:$C297,"A212401",$D107:$D297,"521")</f>
        <v>643151.68000000005</v>
      </c>
      <c r="Q106" s="25">
        <f>SUMIFS(Q107:Q297,$C107:$C297,"A212401",$D107:$D297,"521")</f>
        <v>13639.55</v>
      </c>
    </row>
    <row r="107" spans="1:20" ht="20.100000000000001" hidden="1" customHeight="1" outlineLevel="1" x14ac:dyDescent="0.2">
      <c r="A107" s="25" t="str">
        <f t="shared" si="50"/>
        <v>A2124015213111</v>
      </c>
      <c r="B107" s="30" t="s">
        <v>472</v>
      </c>
      <c r="C107" s="26" t="s">
        <v>327</v>
      </c>
      <c r="D107" s="30">
        <v>521</v>
      </c>
      <c r="E107" s="30" t="str">
        <f t="shared" ref="E107:E135" si="65">LEFT(H107,1)</f>
        <v>3</v>
      </c>
      <c r="F107" s="30" t="str">
        <f t="shared" ref="F107:F135" si="66">LEFT(H107,2)</f>
        <v>31</v>
      </c>
      <c r="G107" s="26" t="str">
        <f t="shared" si="54"/>
        <v>311</v>
      </c>
      <c r="H107" s="86" t="s">
        <v>57</v>
      </c>
      <c r="I107" s="86" t="s">
        <v>59</v>
      </c>
      <c r="J107" s="87">
        <v>286339.07999999978</v>
      </c>
      <c r="K107" s="87">
        <v>613000</v>
      </c>
      <c r="L107" s="87">
        <v>311852.18</v>
      </c>
      <c r="M107" s="87">
        <v>108.91010057027502</v>
      </c>
      <c r="N107" s="87">
        <v>50.873112561174551</v>
      </c>
      <c r="O107" s="31">
        <v>145951.35</v>
      </c>
      <c r="P107" s="25">
        <v>462915.37</v>
      </c>
      <c r="T107" s="25" t="str">
        <f t="shared" si="62"/>
        <v>A2124015213111</v>
      </c>
    </row>
    <row r="108" spans="1:20" ht="20.100000000000001" hidden="1" customHeight="1" outlineLevel="1" x14ac:dyDescent="0.2">
      <c r="A108" s="25" t="str">
        <f t="shared" si="50"/>
        <v>A2124015213121</v>
      </c>
      <c r="B108" s="30" t="s">
        <v>472</v>
      </c>
      <c r="C108" s="26" t="s">
        <v>327</v>
      </c>
      <c r="D108" s="30">
        <v>521</v>
      </c>
      <c r="E108" s="30" t="str">
        <f t="shared" si="65"/>
        <v>3</v>
      </c>
      <c r="F108" s="30" t="str">
        <f t="shared" si="66"/>
        <v>31</v>
      </c>
      <c r="G108" s="26" t="str">
        <f t="shared" si="54"/>
        <v>312</v>
      </c>
      <c r="H108" s="86" t="s">
        <v>60</v>
      </c>
      <c r="I108" s="86" t="s">
        <v>62</v>
      </c>
      <c r="J108" s="87">
        <v>34218.71000000013</v>
      </c>
      <c r="K108" s="87">
        <v>32300</v>
      </c>
      <c r="L108" s="87">
        <v>49320.9200000001</v>
      </c>
      <c r="M108" s="87">
        <v>144.13436391962148</v>
      </c>
      <c r="N108" s="87">
        <v>152.69634674922631</v>
      </c>
      <c r="O108" s="31">
        <v>3529.36</v>
      </c>
      <c r="P108" s="25">
        <v>49647.32</v>
      </c>
      <c r="T108" s="25" t="str">
        <f t="shared" si="62"/>
        <v>A2124015213121</v>
      </c>
    </row>
    <row r="109" spans="1:20" ht="20.100000000000001" hidden="1" customHeight="1" outlineLevel="1" x14ac:dyDescent="0.2">
      <c r="A109" s="25" t="str">
        <f t="shared" ref="A109:A172" si="67">CONCATENATE(C109,D109,H109)</f>
        <v>A2124015213132</v>
      </c>
      <c r="B109" s="30" t="s">
        <v>472</v>
      </c>
      <c r="C109" s="26" t="s">
        <v>327</v>
      </c>
      <c r="D109" s="30">
        <v>521</v>
      </c>
      <c r="E109" s="30" t="str">
        <f t="shared" si="65"/>
        <v>3</v>
      </c>
      <c r="F109" s="30" t="str">
        <f t="shared" si="66"/>
        <v>31</v>
      </c>
      <c r="G109" s="26" t="str">
        <f t="shared" si="54"/>
        <v>313</v>
      </c>
      <c r="H109" s="86" t="s">
        <v>63</v>
      </c>
      <c r="I109" s="86" t="s">
        <v>65</v>
      </c>
      <c r="J109" s="87">
        <v>48276.129999999837</v>
      </c>
      <c r="K109" s="87">
        <v>100700</v>
      </c>
      <c r="L109" s="87">
        <v>59637.329999999834</v>
      </c>
      <c r="M109" s="87">
        <v>123.53378367321497</v>
      </c>
      <c r="N109" s="87">
        <v>59.222770605759521</v>
      </c>
      <c r="O109" s="31">
        <v>19844.830000000002</v>
      </c>
      <c r="P109" s="25">
        <v>79156.06</v>
      </c>
      <c r="T109" s="25" t="str">
        <f t="shared" si="62"/>
        <v>A2124015213132</v>
      </c>
    </row>
    <row r="110" spans="1:20" ht="20.100000000000001" hidden="1" customHeight="1" outlineLevel="1" x14ac:dyDescent="0.2">
      <c r="A110" s="25" t="str">
        <f t="shared" si="67"/>
        <v>A2124015213211</v>
      </c>
      <c r="B110" s="30" t="s">
        <v>472</v>
      </c>
      <c r="C110" s="26" t="s">
        <v>327</v>
      </c>
      <c r="D110" s="30">
        <v>521</v>
      </c>
      <c r="E110" s="30" t="str">
        <f t="shared" si="65"/>
        <v>3</v>
      </c>
      <c r="F110" s="30" t="str">
        <f t="shared" si="66"/>
        <v>32</v>
      </c>
      <c r="G110" s="26" t="str">
        <f t="shared" si="54"/>
        <v>321</v>
      </c>
      <c r="H110" s="86" t="s">
        <v>130</v>
      </c>
      <c r="I110" s="86" t="s">
        <v>132</v>
      </c>
      <c r="J110" s="87">
        <v>812</v>
      </c>
      <c r="K110" s="87">
        <v>1600</v>
      </c>
      <c r="L110" s="87">
        <v>1339.2</v>
      </c>
      <c r="M110" s="87">
        <v>164.92610837438423</v>
      </c>
      <c r="N110" s="87">
        <v>83.7</v>
      </c>
      <c r="O110" s="31">
        <v>2373.48</v>
      </c>
      <c r="T110" s="25" t="str">
        <f t="shared" si="62"/>
        <v>A2124015213211</v>
      </c>
    </row>
    <row r="111" spans="1:20" ht="20.100000000000001" hidden="1" customHeight="1" outlineLevel="1" x14ac:dyDescent="0.2">
      <c r="A111" s="25" t="str">
        <f t="shared" si="67"/>
        <v>A2124015213212</v>
      </c>
      <c r="B111" s="30" t="s">
        <v>472</v>
      </c>
      <c r="C111" s="26" t="s">
        <v>327</v>
      </c>
      <c r="D111" s="30">
        <v>521</v>
      </c>
      <c r="E111" s="30" t="str">
        <f t="shared" si="65"/>
        <v>3</v>
      </c>
      <c r="F111" s="30" t="str">
        <f t="shared" si="66"/>
        <v>32</v>
      </c>
      <c r="G111" s="26" t="str">
        <f t="shared" si="54"/>
        <v>321</v>
      </c>
      <c r="H111" s="86" t="s">
        <v>66</v>
      </c>
      <c r="I111" s="86" t="s">
        <v>68</v>
      </c>
      <c r="J111" s="87">
        <v>6085.3799999999928</v>
      </c>
      <c r="K111" s="87">
        <v>13500</v>
      </c>
      <c r="L111" s="87">
        <v>5332.8</v>
      </c>
      <c r="M111" s="87">
        <v>87.632982656793928</v>
      </c>
      <c r="N111" s="87">
        <v>39.502222222222223</v>
      </c>
      <c r="O111" s="31">
        <v>2463.36</v>
      </c>
      <c r="P111" s="25">
        <v>9619.82</v>
      </c>
      <c r="T111" s="25" t="str">
        <f t="shared" si="62"/>
        <v>A2124015213212</v>
      </c>
    </row>
    <row r="112" spans="1:20" ht="20.100000000000001" hidden="1" customHeight="1" outlineLevel="1" x14ac:dyDescent="0.2">
      <c r="A112" s="25" t="str">
        <f t="shared" si="67"/>
        <v>A2124015213213</v>
      </c>
      <c r="B112" s="30" t="s">
        <v>472</v>
      </c>
      <c r="C112" s="26" t="s">
        <v>327</v>
      </c>
      <c r="D112" s="30">
        <v>521</v>
      </c>
      <c r="E112" s="30" t="str">
        <f t="shared" si="65"/>
        <v>3</v>
      </c>
      <c r="F112" s="30" t="str">
        <f t="shared" si="66"/>
        <v>32</v>
      </c>
      <c r="G112" s="26" t="str">
        <f t="shared" si="54"/>
        <v>321</v>
      </c>
      <c r="H112" s="86" t="s">
        <v>69</v>
      </c>
      <c r="I112" s="86" t="s">
        <v>71</v>
      </c>
      <c r="J112" s="87">
        <v>0</v>
      </c>
      <c r="K112" s="87">
        <v>5300</v>
      </c>
      <c r="L112" s="87">
        <v>253.8</v>
      </c>
      <c r="M112" s="87">
        <v>0</v>
      </c>
      <c r="N112" s="87">
        <v>4.7886792452830189</v>
      </c>
      <c r="O112" s="31">
        <v>753.75</v>
      </c>
      <c r="T112" s="25" t="str">
        <f t="shared" si="62"/>
        <v>A2124015213213</v>
      </c>
    </row>
    <row r="113" spans="1:20" ht="20.100000000000001" hidden="1" customHeight="1" outlineLevel="1" x14ac:dyDescent="0.2">
      <c r="A113" s="25" t="str">
        <f t="shared" si="67"/>
        <v>A2124015213214</v>
      </c>
      <c r="B113" s="30" t="s">
        <v>472</v>
      </c>
      <c r="C113" s="26" t="s">
        <v>327</v>
      </c>
      <c r="D113" s="30">
        <v>521</v>
      </c>
      <c r="E113" s="30" t="str">
        <f t="shared" si="65"/>
        <v>3</v>
      </c>
      <c r="F113" s="30" t="str">
        <f t="shared" si="66"/>
        <v>32</v>
      </c>
      <c r="G113" s="26" t="str">
        <f t="shared" si="54"/>
        <v>321</v>
      </c>
      <c r="H113" s="86" t="s">
        <v>172</v>
      </c>
      <c r="I113" s="86" t="s">
        <v>174</v>
      </c>
      <c r="J113" s="87">
        <v>476</v>
      </c>
      <c r="K113" s="87">
        <v>600</v>
      </c>
      <c r="L113" s="87">
        <v>654</v>
      </c>
      <c r="M113" s="87">
        <v>137.39495798319328</v>
      </c>
      <c r="N113" s="87">
        <v>109.00000000000001</v>
      </c>
      <c r="O113" s="31">
        <v>829.5</v>
      </c>
      <c r="T113" s="25" t="str">
        <f t="shared" si="62"/>
        <v>A2124015213214</v>
      </c>
    </row>
    <row r="114" spans="1:20" ht="20.100000000000001" hidden="1" customHeight="1" outlineLevel="1" x14ac:dyDescent="0.2">
      <c r="A114" s="25" t="str">
        <f t="shared" si="67"/>
        <v>A2124015213221</v>
      </c>
      <c r="B114" s="30" t="s">
        <v>472</v>
      </c>
      <c r="C114" s="26" t="s">
        <v>327</v>
      </c>
      <c r="D114" s="30">
        <v>521</v>
      </c>
      <c r="E114" s="30" t="str">
        <f t="shared" si="65"/>
        <v>3</v>
      </c>
      <c r="F114" s="30" t="str">
        <f t="shared" si="66"/>
        <v>32</v>
      </c>
      <c r="G114" s="26" t="str">
        <f t="shared" si="54"/>
        <v>322</v>
      </c>
      <c r="H114" s="86" t="s">
        <v>72</v>
      </c>
      <c r="I114" s="86" t="s">
        <v>74</v>
      </c>
      <c r="J114" s="87">
        <v>1923.5500000000031</v>
      </c>
      <c r="K114" s="87">
        <v>5700</v>
      </c>
      <c r="L114" s="87">
        <v>1130.73</v>
      </c>
      <c r="M114" s="87">
        <v>58.78349925918215</v>
      </c>
      <c r="N114" s="87">
        <v>19.837368421052631</v>
      </c>
      <c r="O114" s="31">
        <v>578.17999999999995</v>
      </c>
      <c r="P114" s="25">
        <v>1756.59</v>
      </c>
      <c r="T114" s="25" t="str">
        <f t="shared" si="62"/>
        <v>A2124015213221</v>
      </c>
    </row>
    <row r="115" spans="1:20" ht="20.100000000000001" hidden="1" customHeight="1" outlineLevel="1" x14ac:dyDescent="0.2">
      <c r="A115" s="25" t="str">
        <f t="shared" si="67"/>
        <v>A2124015213222</v>
      </c>
      <c r="B115" s="30" t="s">
        <v>472</v>
      </c>
      <c r="C115" s="26" t="s">
        <v>327</v>
      </c>
      <c r="D115" s="30">
        <v>521</v>
      </c>
      <c r="E115" s="30" t="str">
        <f t="shared" si="65"/>
        <v>3</v>
      </c>
      <c r="F115" s="30" t="str">
        <f t="shared" si="66"/>
        <v>32</v>
      </c>
      <c r="G115" s="26" t="str">
        <f t="shared" si="54"/>
        <v>322</v>
      </c>
      <c r="H115" s="86" t="s">
        <v>75</v>
      </c>
      <c r="I115" s="86" t="s">
        <v>77</v>
      </c>
      <c r="J115" s="87">
        <v>767.16</v>
      </c>
      <c r="K115" s="87">
        <v>5200</v>
      </c>
      <c r="L115" s="87">
        <v>83.45</v>
      </c>
      <c r="M115" s="87">
        <v>10.877782991813964</v>
      </c>
      <c r="N115" s="87">
        <v>1.6048076923076926</v>
      </c>
      <c r="O115" s="31">
        <v>11.93</v>
      </c>
      <c r="P115" s="25">
        <v>1165.8</v>
      </c>
      <c r="T115" s="25" t="str">
        <f t="shared" si="62"/>
        <v>A2124015213222</v>
      </c>
    </row>
    <row r="116" spans="1:20" ht="20.100000000000001" hidden="1" customHeight="1" outlineLevel="1" x14ac:dyDescent="0.2">
      <c r="A116" s="25" t="str">
        <f t="shared" si="67"/>
        <v>A2124015213223</v>
      </c>
      <c r="B116" s="30" t="s">
        <v>472</v>
      </c>
      <c r="C116" s="26" t="s">
        <v>327</v>
      </c>
      <c r="D116" s="30">
        <v>521</v>
      </c>
      <c r="E116" s="30" t="str">
        <f t="shared" si="65"/>
        <v>3</v>
      </c>
      <c r="F116" s="30" t="str">
        <f t="shared" si="66"/>
        <v>32</v>
      </c>
      <c r="G116" s="26" t="str">
        <f t="shared" si="54"/>
        <v>322</v>
      </c>
      <c r="H116" s="86" t="s">
        <v>78</v>
      </c>
      <c r="I116" s="86" t="s">
        <v>80</v>
      </c>
      <c r="J116" s="87">
        <v>6576.97</v>
      </c>
      <c r="K116" s="87">
        <v>12000</v>
      </c>
      <c r="L116" s="87">
        <v>13144.509999999991</v>
      </c>
      <c r="M116" s="87">
        <v>199.85662090597936</v>
      </c>
      <c r="N116" s="87">
        <v>109.53758333333326</v>
      </c>
      <c r="O116" s="31"/>
      <c r="P116" s="25">
        <v>11589.33</v>
      </c>
      <c r="T116" s="25" t="str">
        <f t="shared" si="62"/>
        <v>A2124015213223</v>
      </c>
    </row>
    <row r="117" spans="1:20" ht="20.100000000000001" hidden="1" customHeight="1" outlineLevel="1" x14ac:dyDescent="0.2">
      <c r="A117" s="25" t="str">
        <f t="shared" si="67"/>
        <v>A2124015213224</v>
      </c>
      <c r="B117" s="30" t="s">
        <v>472</v>
      </c>
      <c r="C117" s="26" t="s">
        <v>327</v>
      </c>
      <c r="D117" s="30">
        <v>521</v>
      </c>
      <c r="E117" s="30" t="str">
        <f t="shared" si="65"/>
        <v>3</v>
      </c>
      <c r="F117" s="30" t="str">
        <f t="shared" si="66"/>
        <v>32</v>
      </c>
      <c r="G117" s="26" t="str">
        <f t="shared" si="54"/>
        <v>322</v>
      </c>
      <c r="H117" s="86" t="s">
        <v>81</v>
      </c>
      <c r="I117" s="86" t="s">
        <v>83</v>
      </c>
      <c r="J117" s="87">
        <v>0</v>
      </c>
      <c r="K117" s="87">
        <v>6000</v>
      </c>
      <c r="L117" s="87">
        <v>0</v>
      </c>
      <c r="M117" s="87">
        <v>0</v>
      </c>
      <c r="N117" s="87">
        <v>0</v>
      </c>
      <c r="O117" s="31"/>
      <c r="P117" s="25">
        <v>1053.1400000000001</v>
      </c>
      <c r="Q117" s="25">
        <v>68.08</v>
      </c>
      <c r="T117" s="25" t="str">
        <f t="shared" si="62"/>
        <v>A2124015213224</v>
      </c>
    </row>
    <row r="118" spans="1:20" ht="20.100000000000001" hidden="1" customHeight="1" outlineLevel="1" x14ac:dyDescent="0.2">
      <c r="A118" s="25" t="str">
        <f t="shared" si="67"/>
        <v>A2124015213225</v>
      </c>
      <c r="B118" s="30" t="s">
        <v>472</v>
      </c>
      <c r="C118" s="26" t="s">
        <v>327</v>
      </c>
      <c r="D118" s="30">
        <v>521</v>
      </c>
      <c r="E118" s="30" t="str">
        <f t="shared" si="65"/>
        <v>3</v>
      </c>
      <c r="F118" s="30" t="str">
        <f t="shared" si="66"/>
        <v>32</v>
      </c>
      <c r="G118" s="26" t="str">
        <f t="shared" si="54"/>
        <v>322</v>
      </c>
      <c r="H118" s="86" t="s">
        <v>84</v>
      </c>
      <c r="I118" s="86" t="s">
        <v>86</v>
      </c>
      <c r="J118" s="87">
        <v>0</v>
      </c>
      <c r="K118" s="87">
        <v>6000</v>
      </c>
      <c r="L118" s="87">
        <v>0</v>
      </c>
      <c r="M118" s="87">
        <v>0</v>
      </c>
      <c r="N118" s="87">
        <v>0</v>
      </c>
      <c r="O118" s="31"/>
      <c r="P118" s="25">
        <v>697.75</v>
      </c>
      <c r="T118" s="25" t="str">
        <f t="shared" si="62"/>
        <v>A2124015213225</v>
      </c>
    </row>
    <row r="119" spans="1:20" ht="20.100000000000001" hidden="1" customHeight="1" outlineLevel="1" x14ac:dyDescent="0.2">
      <c r="A119" s="25" t="str">
        <f t="shared" si="67"/>
        <v>A2124015213227</v>
      </c>
      <c r="B119" s="30" t="s">
        <v>472</v>
      </c>
      <c r="C119" s="26" t="s">
        <v>327</v>
      </c>
      <c r="D119" s="30">
        <v>521</v>
      </c>
      <c r="E119" s="30" t="str">
        <f t="shared" si="65"/>
        <v>3</v>
      </c>
      <c r="F119" s="30" t="str">
        <f t="shared" si="66"/>
        <v>32</v>
      </c>
      <c r="G119" s="26" t="str">
        <f t="shared" si="54"/>
        <v>322</v>
      </c>
      <c r="H119" s="86" t="s">
        <v>138</v>
      </c>
      <c r="I119" s="86" t="s">
        <v>140</v>
      </c>
      <c r="J119" s="87">
        <v>0</v>
      </c>
      <c r="K119" s="87">
        <v>200</v>
      </c>
      <c r="L119" s="87">
        <v>0</v>
      </c>
      <c r="M119" s="87">
        <v>0</v>
      </c>
      <c r="N119" s="87">
        <v>0</v>
      </c>
      <c r="O119" s="31"/>
      <c r="T119" s="25" t="str">
        <f t="shared" si="62"/>
        <v>A2124015213227</v>
      </c>
    </row>
    <row r="120" spans="1:20" ht="20.100000000000001" hidden="1" customHeight="1" outlineLevel="1" x14ac:dyDescent="0.2">
      <c r="A120" s="25" t="str">
        <f t="shared" si="67"/>
        <v>A2124015213231</v>
      </c>
      <c r="B120" s="30" t="s">
        <v>472</v>
      </c>
      <c r="C120" s="26" t="s">
        <v>327</v>
      </c>
      <c r="D120" s="30">
        <v>521</v>
      </c>
      <c r="E120" s="30" t="str">
        <f t="shared" si="65"/>
        <v>3</v>
      </c>
      <c r="F120" s="30" t="str">
        <f t="shared" si="66"/>
        <v>32</v>
      </c>
      <c r="G120" s="26" t="str">
        <f t="shared" si="54"/>
        <v>323</v>
      </c>
      <c r="H120" s="86" t="s">
        <v>87</v>
      </c>
      <c r="I120" s="86" t="s">
        <v>89</v>
      </c>
      <c r="J120" s="87">
        <v>572.13</v>
      </c>
      <c r="K120" s="87">
        <v>4000</v>
      </c>
      <c r="L120" s="87">
        <v>1320.52</v>
      </c>
      <c r="M120" s="87">
        <v>230.80768356841978</v>
      </c>
      <c r="N120" s="87">
        <v>33.012999999999998</v>
      </c>
      <c r="O120" s="31">
        <v>61.67</v>
      </c>
      <c r="P120" s="25">
        <v>2274.4699999999998</v>
      </c>
      <c r="T120" s="25" t="str">
        <f t="shared" si="62"/>
        <v>A2124015213231</v>
      </c>
    </row>
    <row r="121" spans="1:20" ht="20.100000000000001" hidden="1" customHeight="1" outlineLevel="1" x14ac:dyDescent="0.2">
      <c r="A121" s="25" t="str">
        <f t="shared" si="67"/>
        <v>A2124015213232</v>
      </c>
      <c r="B121" s="30" t="s">
        <v>472</v>
      </c>
      <c r="C121" s="26" t="s">
        <v>327</v>
      </c>
      <c r="D121" s="30">
        <v>521</v>
      </c>
      <c r="E121" s="30" t="str">
        <f t="shared" si="65"/>
        <v>3</v>
      </c>
      <c r="F121" s="30" t="str">
        <f t="shared" si="66"/>
        <v>32</v>
      </c>
      <c r="G121" s="26" t="str">
        <f t="shared" si="54"/>
        <v>323</v>
      </c>
      <c r="H121" s="86" t="s">
        <v>38</v>
      </c>
      <c r="I121" s="86" t="s">
        <v>40</v>
      </c>
      <c r="J121" s="87">
        <v>7742.33</v>
      </c>
      <c r="K121" s="87">
        <v>22200</v>
      </c>
      <c r="L121" s="87">
        <v>2556.73</v>
      </c>
      <c r="M121" s="87">
        <v>33.022746382548924</v>
      </c>
      <c r="N121" s="87">
        <v>11.516801801801801</v>
      </c>
      <c r="O121" s="31"/>
      <c r="P121" s="25">
        <v>7921.78</v>
      </c>
      <c r="Q121" s="25">
        <v>8771.64</v>
      </c>
      <c r="T121" s="25" t="str">
        <f t="shared" si="62"/>
        <v>A2124015213232</v>
      </c>
    </row>
    <row r="122" spans="1:20" ht="20.100000000000001" hidden="1" customHeight="1" outlineLevel="1" x14ac:dyDescent="0.2">
      <c r="A122" s="25" t="str">
        <f t="shared" si="67"/>
        <v>A2124015213234</v>
      </c>
      <c r="B122" s="30" t="s">
        <v>472</v>
      </c>
      <c r="C122" s="26" t="s">
        <v>327</v>
      </c>
      <c r="D122" s="30">
        <v>521</v>
      </c>
      <c r="E122" s="30" t="str">
        <f t="shared" si="65"/>
        <v>3</v>
      </c>
      <c r="F122" s="30" t="str">
        <f t="shared" si="66"/>
        <v>32</v>
      </c>
      <c r="G122" s="26" t="str">
        <f t="shared" si="54"/>
        <v>323</v>
      </c>
      <c r="H122" s="86" t="s">
        <v>94</v>
      </c>
      <c r="I122" s="86" t="s">
        <v>96</v>
      </c>
      <c r="J122" s="87">
        <v>3922.71</v>
      </c>
      <c r="K122" s="87">
        <v>8700</v>
      </c>
      <c r="L122" s="87">
        <v>3875.52</v>
      </c>
      <c r="M122" s="87">
        <v>98.797005131656434</v>
      </c>
      <c r="N122" s="87">
        <v>44.546206896551723</v>
      </c>
      <c r="O122" s="31"/>
      <c r="P122" s="25">
        <v>9361.1200000000008</v>
      </c>
      <c r="T122" s="25" t="str">
        <f t="shared" si="62"/>
        <v>A2124015213234</v>
      </c>
    </row>
    <row r="123" spans="1:20" ht="20.100000000000001" hidden="1" customHeight="1" outlineLevel="1" x14ac:dyDescent="0.2">
      <c r="A123" s="25" t="str">
        <f t="shared" si="67"/>
        <v>A2124015213235</v>
      </c>
      <c r="B123" s="30" t="s">
        <v>472</v>
      </c>
      <c r="C123" s="26" t="s">
        <v>327</v>
      </c>
      <c r="D123" s="30">
        <v>521</v>
      </c>
      <c r="E123" s="30" t="str">
        <f t="shared" si="65"/>
        <v>3</v>
      </c>
      <c r="F123" s="30" t="str">
        <f t="shared" si="66"/>
        <v>32</v>
      </c>
      <c r="G123" s="26" t="str">
        <f t="shared" si="54"/>
        <v>323</v>
      </c>
      <c r="H123" s="86" t="s">
        <v>97</v>
      </c>
      <c r="I123" s="86" t="s">
        <v>99</v>
      </c>
      <c r="J123" s="87">
        <v>1809.25</v>
      </c>
      <c r="K123" s="87">
        <v>1300</v>
      </c>
      <c r="L123" s="87">
        <v>1885.14</v>
      </c>
      <c r="M123" s="87">
        <v>104.19455575514715</v>
      </c>
      <c r="N123" s="87">
        <v>145.01076923076923</v>
      </c>
      <c r="O123" s="31"/>
      <c r="Q123" s="25">
        <v>3651</v>
      </c>
      <c r="T123" s="25" t="str">
        <f t="shared" si="62"/>
        <v>A2124015213235</v>
      </c>
    </row>
    <row r="124" spans="1:20" ht="20.100000000000001" hidden="1" customHeight="1" outlineLevel="1" x14ac:dyDescent="0.2">
      <c r="A124" s="25" t="str">
        <f t="shared" si="67"/>
        <v>A2124015213236</v>
      </c>
      <c r="B124" s="30" t="s">
        <v>472</v>
      </c>
      <c r="C124" s="26" t="s">
        <v>327</v>
      </c>
      <c r="D124" s="30">
        <v>521</v>
      </c>
      <c r="E124" s="30" t="str">
        <f t="shared" si="65"/>
        <v>3</v>
      </c>
      <c r="F124" s="30" t="str">
        <f t="shared" si="66"/>
        <v>32</v>
      </c>
      <c r="G124" s="26" t="str">
        <f t="shared" si="54"/>
        <v>323</v>
      </c>
      <c r="H124" s="86" t="s">
        <v>100</v>
      </c>
      <c r="I124" s="86" t="s">
        <v>102</v>
      </c>
      <c r="J124" s="87">
        <v>0</v>
      </c>
      <c r="K124" s="87">
        <v>600</v>
      </c>
      <c r="L124" s="87">
        <v>0</v>
      </c>
      <c r="M124" s="87">
        <v>0</v>
      </c>
      <c r="N124" s="87">
        <v>0</v>
      </c>
      <c r="O124" s="31"/>
      <c r="T124" s="25" t="str">
        <f t="shared" si="62"/>
        <v>A2124015213236</v>
      </c>
    </row>
    <row r="125" spans="1:20" ht="20.100000000000001" hidden="1" customHeight="1" outlineLevel="1" x14ac:dyDescent="0.2">
      <c r="A125" s="25" t="str">
        <f t="shared" si="67"/>
        <v>A2124015213237</v>
      </c>
      <c r="B125" s="30" t="s">
        <v>472</v>
      </c>
      <c r="C125" s="26" t="s">
        <v>327</v>
      </c>
      <c r="D125" s="30">
        <v>521</v>
      </c>
      <c r="E125" s="30" t="str">
        <f t="shared" si="65"/>
        <v>3</v>
      </c>
      <c r="F125" s="30" t="str">
        <f t="shared" si="66"/>
        <v>32</v>
      </c>
      <c r="G125" s="26" t="str">
        <f t="shared" si="54"/>
        <v>323</v>
      </c>
      <c r="H125" s="86" t="s">
        <v>41</v>
      </c>
      <c r="I125" s="86" t="s">
        <v>43</v>
      </c>
      <c r="J125" s="87">
        <v>0</v>
      </c>
      <c r="K125" s="87">
        <v>2000</v>
      </c>
      <c r="L125" s="87">
        <v>0</v>
      </c>
      <c r="M125" s="87">
        <v>0</v>
      </c>
      <c r="N125" s="87">
        <v>0</v>
      </c>
      <c r="O125" s="31">
        <v>740</v>
      </c>
      <c r="T125" s="25" t="str">
        <f t="shared" si="62"/>
        <v>A2124015213237</v>
      </c>
    </row>
    <row r="126" spans="1:20" ht="20.100000000000001" hidden="1" customHeight="1" outlineLevel="1" x14ac:dyDescent="0.2">
      <c r="A126" s="25" t="str">
        <f t="shared" si="67"/>
        <v>A2124015213238</v>
      </c>
      <c r="B126" s="30" t="s">
        <v>472</v>
      </c>
      <c r="C126" s="26" t="s">
        <v>327</v>
      </c>
      <c r="D126" s="30">
        <v>521</v>
      </c>
      <c r="E126" s="30" t="str">
        <f t="shared" si="65"/>
        <v>3</v>
      </c>
      <c r="F126" s="30" t="str">
        <f t="shared" si="66"/>
        <v>32</v>
      </c>
      <c r="G126" s="26" t="str">
        <f t="shared" si="54"/>
        <v>323</v>
      </c>
      <c r="H126" s="86" t="s">
        <v>104</v>
      </c>
      <c r="I126" s="86" t="s">
        <v>106</v>
      </c>
      <c r="J126" s="87">
        <v>123.55</v>
      </c>
      <c r="K126" s="87">
        <v>5400</v>
      </c>
      <c r="L126" s="87">
        <v>125.55</v>
      </c>
      <c r="M126" s="87">
        <v>101.61877782274382</v>
      </c>
      <c r="N126" s="87">
        <v>2.3250000000000002</v>
      </c>
      <c r="O126" s="31"/>
      <c r="P126" s="25">
        <v>123.55</v>
      </c>
      <c r="T126" s="25" t="str">
        <f t="shared" si="62"/>
        <v>A2124015213238</v>
      </c>
    </row>
    <row r="127" spans="1:20" ht="20.100000000000001" hidden="1" customHeight="1" outlineLevel="1" x14ac:dyDescent="0.2">
      <c r="A127" s="25" t="str">
        <f t="shared" si="67"/>
        <v>A2124015213239</v>
      </c>
      <c r="B127" s="30" t="s">
        <v>472</v>
      </c>
      <c r="C127" s="26" t="s">
        <v>327</v>
      </c>
      <c r="D127" s="30">
        <v>521</v>
      </c>
      <c r="E127" s="30" t="str">
        <f t="shared" si="65"/>
        <v>3</v>
      </c>
      <c r="F127" s="30" t="str">
        <f t="shared" si="66"/>
        <v>32</v>
      </c>
      <c r="G127" s="26" t="str">
        <f t="shared" si="54"/>
        <v>323</v>
      </c>
      <c r="H127" s="86" t="s">
        <v>126</v>
      </c>
      <c r="I127" s="86" t="s">
        <v>128</v>
      </c>
      <c r="J127" s="87">
        <v>1781.34</v>
      </c>
      <c r="K127" s="87">
        <v>3900</v>
      </c>
      <c r="L127" s="87">
        <v>6964.21</v>
      </c>
      <c r="M127" s="87">
        <v>390.95343954551072</v>
      </c>
      <c r="N127" s="87">
        <v>178.56948717948717</v>
      </c>
      <c r="O127" s="31">
        <v>97.5</v>
      </c>
      <c r="P127" s="25">
        <v>3669.01</v>
      </c>
      <c r="Q127" s="25">
        <v>1148.83</v>
      </c>
      <c r="T127" s="25" t="str">
        <f t="shared" si="62"/>
        <v>A2124015213239</v>
      </c>
    </row>
    <row r="128" spans="1:20" ht="20.100000000000001" hidden="1" customHeight="1" outlineLevel="1" x14ac:dyDescent="0.2">
      <c r="A128" s="25" t="str">
        <f t="shared" si="67"/>
        <v>A2124015213241</v>
      </c>
      <c r="B128" s="30" t="s">
        <v>472</v>
      </c>
      <c r="C128" s="26" t="s">
        <v>327</v>
      </c>
      <c r="D128" s="30">
        <v>521</v>
      </c>
      <c r="E128" s="30" t="str">
        <f t="shared" si="65"/>
        <v>3</v>
      </c>
      <c r="F128" s="30" t="str">
        <f t="shared" si="66"/>
        <v>32</v>
      </c>
      <c r="G128" s="26" t="str">
        <f t="shared" ref="G128" si="68">LEFT(H128,3)</f>
        <v>324</v>
      </c>
      <c r="H128" s="86" t="s">
        <v>150</v>
      </c>
      <c r="I128" s="86" t="s">
        <v>152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31"/>
      <c r="T128" s="25" t="str">
        <f t="shared" si="62"/>
        <v>A2124015213241</v>
      </c>
    </row>
    <row r="129" spans="1:22" ht="20.100000000000001" hidden="1" customHeight="1" outlineLevel="1" x14ac:dyDescent="0.2">
      <c r="A129" s="25" t="str">
        <f t="shared" si="67"/>
        <v>A2124015213292</v>
      </c>
      <c r="B129" s="30" t="s">
        <v>472</v>
      </c>
      <c r="C129" s="26" t="s">
        <v>327</v>
      </c>
      <c r="D129" s="30">
        <v>521</v>
      </c>
      <c r="E129" s="30" t="str">
        <f t="shared" si="65"/>
        <v>3</v>
      </c>
      <c r="F129" s="30" t="str">
        <f t="shared" si="66"/>
        <v>32</v>
      </c>
      <c r="G129" s="26" t="str">
        <f t="shared" si="54"/>
        <v>329</v>
      </c>
      <c r="H129" s="86" t="s">
        <v>110</v>
      </c>
      <c r="I129" s="86" t="s">
        <v>112</v>
      </c>
      <c r="J129" s="87">
        <v>1668.05</v>
      </c>
      <c r="K129" s="87">
        <v>2500</v>
      </c>
      <c r="L129" s="87">
        <v>299.08</v>
      </c>
      <c r="M129" s="87">
        <v>17.929918167920626</v>
      </c>
      <c r="N129" s="87">
        <v>11.963199999999999</v>
      </c>
      <c r="O129" s="31"/>
      <c r="P129" s="25">
        <v>1668.05</v>
      </c>
      <c r="T129" s="25" t="str">
        <f t="shared" si="62"/>
        <v>A2124015213292</v>
      </c>
    </row>
    <row r="130" spans="1:22" ht="20.100000000000001" hidden="1" customHeight="1" outlineLevel="1" x14ac:dyDescent="0.2">
      <c r="A130" s="25" t="str">
        <f t="shared" si="67"/>
        <v>A2124015213293</v>
      </c>
      <c r="B130" s="30" t="s">
        <v>472</v>
      </c>
      <c r="C130" s="26" t="s">
        <v>327</v>
      </c>
      <c r="D130" s="30">
        <v>521</v>
      </c>
      <c r="E130" s="30" t="str">
        <f t="shared" si="65"/>
        <v>3</v>
      </c>
      <c r="F130" s="30" t="str">
        <f t="shared" si="66"/>
        <v>32</v>
      </c>
      <c r="G130" s="26" t="str">
        <f t="shared" si="54"/>
        <v>329</v>
      </c>
      <c r="H130" s="86" t="s">
        <v>154</v>
      </c>
      <c r="I130" s="86" t="s">
        <v>156</v>
      </c>
      <c r="J130" s="87">
        <v>562.46</v>
      </c>
      <c r="K130" s="87">
        <v>1500</v>
      </c>
      <c r="L130" s="87">
        <v>583.23</v>
      </c>
      <c r="M130" s="87">
        <v>103.69270703694484</v>
      </c>
      <c r="N130" s="87">
        <v>38.881999999999998</v>
      </c>
      <c r="O130" s="31">
        <v>1162.48</v>
      </c>
      <c r="P130" s="25">
        <v>157.13</v>
      </c>
      <c r="T130" s="25" t="str">
        <f t="shared" si="62"/>
        <v>A2124015213293</v>
      </c>
    </row>
    <row r="131" spans="1:22" ht="20.100000000000001" hidden="1" customHeight="1" outlineLevel="1" x14ac:dyDescent="0.2">
      <c r="A131" s="25" t="str">
        <f t="shared" si="67"/>
        <v>A2124015213294</v>
      </c>
      <c r="B131" s="30" t="s">
        <v>472</v>
      </c>
      <c r="C131" s="26" t="s">
        <v>327</v>
      </c>
      <c r="D131" s="30">
        <v>521</v>
      </c>
      <c r="E131" s="30" t="str">
        <f t="shared" si="65"/>
        <v>3</v>
      </c>
      <c r="F131" s="30" t="str">
        <f t="shared" si="66"/>
        <v>32</v>
      </c>
      <c r="G131" s="26" t="str">
        <f t="shared" si="54"/>
        <v>329</v>
      </c>
      <c r="H131" s="86" t="s">
        <v>113</v>
      </c>
      <c r="I131" s="86" t="s">
        <v>115</v>
      </c>
      <c r="J131" s="87">
        <v>0</v>
      </c>
      <c r="K131" s="87">
        <v>0</v>
      </c>
      <c r="L131" s="87">
        <v>0</v>
      </c>
      <c r="M131" s="87">
        <v>0</v>
      </c>
      <c r="N131" s="87">
        <v>0</v>
      </c>
      <c r="O131" s="31"/>
      <c r="T131" s="25" t="str">
        <f t="shared" si="62"/>
        <v>A2124015213294</v>
      </c>
    </row>
    <row r="132" spans="1:22" ht="20.100000000000001" hidden="1" customHeight="1" outlineLevel="1" x14ac:dyDescent="0.2">
      <c r="A132" s="25" t="str">
        <f t="shared" si="67"/>
        <v>A2124015213295</v>
      </c>
      <c r="B132" s="30" t="s">
        <v>472</v>
      </c>
      <c r="C132" s="26" t="s">
        <v>327</v>
      </c>
      <c r="D132" s="30">
        <v>521</v>
      </c>
      <c r="E132" s="30" t="str">
        <f t="shared" si="65"/>
        <v>3</v>
      </c>
      <c r="F132" s="30" t="str">
        <f t="shared" si="66"/>
        <v>32</v>
      </c>
      <c r="G132" s="26" t="str">
        <f t="shared" si="54"/>
        <v>329</v>
      </c>
      <c r="H132" s="86" t="s">
        <v>116</v>
      </c>
      <c r="I132" s="86" t="s">
        <v>118</v>
      </c>
      <c r="J132" s="87">
        <v>127.38</v>
      </c>
      <c r="K132" s="87">
        <v>600</v>
      </c>
      <c r="L132" s="87">
        <v>106.15</v>
      </c>
      <c r="M132" s="87">
        <v>83.333333333333343</v>
      </c>
      <c r="N132" s="87">
        <v>17.691666666666666</v>
      </c>
      <c r="O132" s="31"/>
      <c r="P132" s="25">
        <v>307.83999999999997</v>
      </c>
      <c r="T132" s="25" t="str">
        <f t="shared" si="62"/>
        <v>A2124015213295</v>
      </c>
    </row>
    <row r="133" spans="1:22" ht="20.100000000000001" hidden="1" customHeight="1" outlineLevel="1" x14ac:dyDescent="0.2">
      <c r="A133" s="25" t="str">
        <f t="shared" si="67"/>
        <v>A2124015213299</v>
      </c>
      <c r="B133" s="30" t="s">
        <v>472</v>
      </c>
      <c r="C133" s="26" t="s">
        <v>327</v>
      </c>
      <c r="D133" s="30">
        <v>521</v>
      </c>
      <c r="E133" s="30" t="str">
        <f t="shared" si="65"/>
        <v>3</v>
      </c>
      <c r="F133" s="30" t="str">
        <f t="shared" si="66"/>
        <v>32</v>
      </c>
      <c r="G133" s="26" t="str">
        <f t="shared" si="54"/>
        <v>329</v>
      </c>
      <c r="H133" s="86" t="s">
        <v>159</v>
      </c>
      <c r="I133" s="86" t="s">
        <v>161</v>
      </c>
      <c r="J133" s="87">
        <v>40.5</v>
      </c>
      <c r="K133" s="87">
        <v>1700</v>
      </c>
      <c r="L133" s="87">
        <v>0</v>
      </c>
      <c r="M133" s="87">
        <v>0</v>
      </c>
      <c r="N133" s="87">
        <v>0</v>
      </c>
      <c r="O133" s="31"/>
      <c r="P133" s="25">
        <v>45</v>
      </c>
      <c r="T133" s="25" t="str">
        <f t="shared" si="62"/>
        <v>A2124015213299</v>
      </c>
    </row>
    <row r="134" spans="1:22" ht="20.100000000000001" hidden="1" customHeight="1" outlineLevel="1" x14ac:dyDescent="0.2">
      <c r="A134" s="25" t="str">
        <f t="shared" si="67"/>
        <v>A2124015213431</v>
      </c>
      <c r="B134" s="30" t="s">
        <v>472</v>
      </c>
      <c r="C134" s="26" t="s">
        <v>327</v>
      </c>
      <c r="D134" s="30">
        <v>521</v>
      </c>
      <c r="E134" s="30" t="str">
        <f t="shared" si="65"/>
        <v>3</v>
      </c>
      <c r="F134" s="30" t="str">
        <f t="shared" si="66"/>
        <v>34</v>
      </c>
      <c r="G134" s="26" t="str">
        <f t="shared" si="54"/>
        <v>343</v>
      </c>
      <c r="H134" s="86" t="s">
        <v>119</v>
      </c>
      <c r="I134" s="86" t="s">
        <v>121</v>
      </c>
      <c r="J134" s="87">
        <v>0</v>
      </c>
      <c r="K134" s="87">
        <v>2700</v>
      </c>
      <c r="L134" s="87">
        <v>0</v>
      </c>
      <c r="M134" s="87">
        <v>0</v>
      </c>
      <c r="N134" s="87">
        <v>0</v>
      </c>
      <c r="O134" s="31"/>
      <c r="T134" s="25" t="str">
        <f t="shared" si="62"/>
        <v>A2124015213431</v>
      </c>
    </row>
    <row r="135" spans="1:22" ht="20.100000000000001" hidden="1" customHeight="1" outlineLevel="1" x14ac:dyDescent="0.2">
      <c r="A135" s="25" t="str">
        <f t="shared" si="67"/>
        <v>A2124015213433</v>
      </c>
      <c r="B135" s="30" t="s">
        <v>472</v>
      </c>
      <c r="C135" s="26" t="s">
        <v>327</v>
      </c>
      <c r="D135" s="30">
        <v>521</v>
      </c>
      <c r="E135" s="30" t="str">
        <f t="shared" si="65"/>
        <v>3</v>
      </c>
      <c r="F135" s="30" t="str">
        <f t="shared" si="66"/>
        <v>34</v>
      </c>
      <c r="G135" s="26" t="str">
        <f t="shared" si="54"/>
        <v>343</v>
      </c>
      <c r="H135" s="86" t="s">
        <v>163</v>
      </c>
      <c r="I135" s="86" t="s">
        <v>165</v>
      </c>
      <c r="J135" s="87">
        <v>0</v>
      </c>
      <c r="K135" s="87">
        <v>200</v>
      </c>
      <c r="L135" s="87">
        <v>0</v>
      </c>
      <c r="M135" s="87">
        <v>0</v>
      </c>
      <c r="N135" s="87">
        <v>0</v>
      </c>
      <c r="O135" s="31"/>
      <c r="P135" s="25">
        <v>22.55</v>
      </c>
      <c r="T135" s="25" t="str">
        <f t="shared" si="62"/>
        <v>A2124015213433</v>
      </c>
    </row>
    <row r="136" spans="1:22" ht="24.95" customHeight="1" collapsed="1" thickBot="1" x14ac:dyDescent="0.25">
      <c r="B136" s="30"/>
      <c r="H136" s="230" t="s">
        <v>34</v>
      </c>
      <c r="I136" s="230"/>
      <c r="J136" s="79">
        <v>308.09000000000003</v>
      </c>
      <c r="K136" s="79">
        <v>0</v>
      </c>
      <c r="L136" s="79">
        <v>0</v>
      </c>
      <c r="M136" s="79">
        <v>0</v>
      </c>
      <c r="N136" s="79">
        <v>0</v>
      </c>
    </row>
    <row r="137" spans="1:22" ht="20.100000000000001" hidden="1" customHeight="1" outlineLevel="1" x14ac:dyDescent="0.2">
      <c r="A137" s="25" t="str">
        <f t="shared" si="67"/>
        <v>A2124015413221</v>
      </c>
      <c r="B137" s="30" t="s">
        <v>472</v>
      </c>
      <c r="C137" s="26" t="s">
        <v>327</v>
      </c>
      <c r="D137" s="30">
        <v>541</v>
      </c>
      <c r="E137" s="30" t="str">
        <f>LEFT(H137,1)</f>
        <v>3</v>
      </c>
      <c r="F137" s="30" t="str">
        <f>LEFT(H137,2)</f>
        <v>32</v>
      </c>
      <c r="G137" s="26" t="str">
        <f t="shared" si="54"/>
        <v>322</v>
      </c>
      <c r="H137" s="86" t="s">
        <v>72</v>
      </c>
      <c r="I137" s="86" t="s">
        <v>74</v>
      </c>
      <c r="J137" s="87">
        <v>0</v>
      </c>
      <c r="K137" s="87">
        <v>0</v>
      </c>
      <c r="L137" s="87">
        <v>0</v>
      </c>
      <c r="M137" s="87">
        <v>0</v>
      </c>
      <c r="N137" s="87">
        <v>0</v>
      </c>
      <c r="O137" s="31"/>
      <c r="T137" s="25" t="str">
        <f t="shared" si="62"/>
        <v>A2124015413221</v>
      </c>
    </row>
    <row r="138" spans="1:22" ht="20.100000000000001" hidden="1" customHeight="1" outlineLevel="1" x14ac:dyDescent="0.2">
      <c r="A138" s="25" t="str">
        <f t="shared" si="67"/>
        <v>A2124015413222</v>
      </c>
      <c r="B138" s="30" t="s">
        <v>472</v>
      </c>
      <c r="C138" s="26" t="s">
        <v>327</v>
      </c>
      <c r="D138" s="30">
        <v>541</v>
      </c>
      <c r="E138" s="30" t="str">
        <f>LEFT(H138,1)</f>
        <v>3</v>
      </c>
      <c r="F138" s="30" t="str">
        <f>LEFT(H138,2)</f>
        <v>32</v>
      </c>
      <c r="G138" s="26" t="str">
        <f t="shared" si="54"/>
        <v>322</v>
      </c>
      <c r="H138" s="86" t="s">
        <v>75</v>
      </c>
      <c r="I138" s="86" t="s">
        <v>77</v>
      </c>
      <c r="J138" s="87">
        <v>39.99</v>
      </c>
      <c r="K138" s="87">
        <v>0</v>
      </c>
      <c r="L138" s="87">
        <v>0</v>
      </c>
      <c r="M138" s="87">
        <v>0</v>
      </c>
      <c r="N138" s="87">
        <v>0</v>
      </c>
      <c r="O138" s="31"/>
      <c r="T138" s="25" t="str">
        <f t="shared" si="62"/>
        <v>A2124015413222</v>
      </c>
    </row>
    <row r="139" spans="1:22" ht="20.100000000000001" hidden="1" customHeight="1" outlineLevel="1" x14ac:dyDescent="0.2">
      <c r="A139" s="25" t="str">
        <f t="shared" si="67"/>
        <v>A2124015413225</v>
      </c>
      <c r="B139" s="30" t="s">
        <v>472</v>
      </c>
      <c r="C139" s="26" t="s">
        <v>327</v>
      </c>
      <c r="D139" s="30">
        <v>541</v>
      </c>
      <c r="E139" s="30" t="str">
        <f>LEFT(H139,1)</f>
        <v>3</v>
      </c>
      <c r="F139" s="30" t="str">
        <f>LEFT(H139,2)</f>
        <v>32</v>
      </c>
      <c r="G139" s="26" t="str">
        <f t="shared" si="54"/>
        <v>322</v>
      </c>
      <c r="H139" s="86" t="s">
        <v>84</v>
      </c>
      <c r="I139" s="86" t="s">
        <v>86</v>
      </c>
      <c r="J139" s="87">
        <v>268.10000000000002</v>
      </c>
      <c r="K139" s="87">
        <v>0</v>
      </c>
      <c r="L139" s="87">
        <v>0</v>
      </c>
      <c r="M139" s="87">
        <v>0</v>
      </c>
      <c r="N139" s="87">
        <v>0</v>
      </c>
      <c r="O139" s="31"/>
      <c r="T139" s="25" t="str">
        <f t="shared" ref="T139:T202" si="69">CONCATENATE(C139,D139,H139)</f>
        <v>A2124015413225</v>
      </c>
    </row>
    <row r="140" spans="1:22" ht="20.100000000000001" hidden="1" customHeight="1" outlineLevel="1" x14ac:dyDescent="0.2">
      <c r="A140" s="25" t="str">
        <f t="shared" si="67"/>
        <v>A2124015413235</v>
      </c>
      <c r="B140" s="30" t="s">
        <v>472</v>
      </c>
      <c r="C140" s="26" t="s">
        <v>327</v>
      </c>
      <c r="D140" s="30">
        <v>541</v>
      </c>
      <c r="E140" s="30" t="str">
        <f>LEFT(H140,1)</f>
        <v>3</v>
      </c>
      <c r="F140" s="30" t="str">
        <f>LEFT(H140,2)</f>
        <v>32</v>
      </c>
      <c r="G140" s="26" t="str">
        <f t="shared" si="54"/>
        <v>323</v>
      </c>
      <c r="H140" s="86" t="s">
        <v>97</v>
      </c>
      <c r="I140" s="86" t="s">
        <v>99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31"/>
      <c r="T140" s="25" t="str">
        <f t="shared" si="69"/>
        <v>A2124015413235</v>
      </c>
    </row>
    <row r="141" spans="1:22" ht="20.100000000000001" hidden="1" customHeight="1" outlineLevel="1" thickBot="1" x14ac:dyDescent="0.25">
      <c r="A141" s="25" t="str">
        <f t="shared" si="67"/>
        <v>A2124015413293</v>
      </c>
      <c r="B141" s="30" t="s">
        <v>472</v>
      </c>
      <c r="C141" s="26" t="s">
        <v>327</v>
      </c>
      <c r="D141" s="30">
        <v>541</v>
      </c>
      <c r="E141" s="30" t="str">
        <f>LEFT(H141,1)</f>
        <v>3</v>
      </c>
      <c r="F141" s="30" t="str">
        <f>LEFT(H141,2)</f>
        <v>32</v>
      </c>
      <c r="G141" s="26" t="str">
        <f t="shared" si="54"/>
        <v>329</v>
      </c>
      <c r="H141" s="86" t="s">
        <v>154</v>
      </c>
      <c r="I141" s="86" t="s">
        <v>156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31"/>
      <c r="T141" s="25" t="str">
        <f t="shared" si="69"/>
        <v>A2124015413293</v>
      </c>
    </row>
    <row r="142" spans="1:22" ht="35.1" customHeight="1" collapsed="1" thickBot="1" x14ac:dyDescent="0.25">
      <c r="B142" s="30"/>
      <c r="H142" s="225" t="s">
        <v>209</v>
      </c>
      <c r="I142" s="225"/>
      <c r="J142" s="82">
        <v>161183.01000000004</v>
      </c>
      <c r="K142" s="82">
        <v>506700</v>
      </c>
      <c r="L142" s="82">
        <v>187569.28</v>
      </c>
      <c r="M142" s="82">
        <v>116.37037923537967</v>
      </c>
      <c r="N142" s="82">
        <v>37.017817248865207</v>
      </c>
    </row>
    <row r="143" spans="1:22" ht="24.95" customHeight="1" x14ac:dyDescent="0.2">
      <c r="B143" s="30"/>
      <c r="H143" s="230" t="s">
        <v>56</v>
      </c>
      <c r="I143" s="230"/>
      <c r="J143" s="79">
        <v>88508.180000000008</v>
      </c>
      <c r="K143" s="79">
        <v>280000</v>
      </c>
      <c r="L143" s="79">
        <v>122126.18</v>
      </c>
      <c r="M143" s="79">
        <v>137.98292993935698</v>
      </c>
      <c r="N143" s="79">
        <v>43.616492857142852</v>
      </c>
      <c r="V143" s="32"/>
    </row>
    <row r="144" spans="1:22" ht="20.100000000000001" hidden="1" customHeight="1" outlineLevel="1" x14ac:dyDescent="0.2">
      <c r="A144" s="25" t="str">
        <f t="shared" si="67"/>
        <v>A2124021123211</v>
      </c>
      <c r="B144" s="30" t="s">
        <v>472</v>
      </c>
      <c r="C144" s="26" t="s">
        <v>328</v>
      </c>
      <c r="D144" s="30">
        <v>112</v>
      </c>
      <c r="E144" s="30" t="str">
        <f t="shared" ref="E144:E155" si="70">LEFT(H144,1)</f>
        <v>3</v>
      </c>
      <c r="F144" s="30" t="str">
        <f t="shared" ref="F144:F155" si="71">LEFT(H144,2)</f>
        <v>32</v>
      </c>
      <c r="G144" s="26" t="str">
        <f t="shared" ref="G144:G205" si="72">LEFT(H144,3)</f>
        <v>321</v>
      </c>
      <c r="H144" s="212" t="s">
        <v>130</v>
      </c>
      <c r="I144" s="86" t="s">
        <v>132</v>
      </c>
      <c r="J144" s="87">
        <v>0</v>
      </c>
      <c r="K144" s="87">
        <v>0</v>
      </c>
      <c r="L144" s="87">
        <v>0</v>
      </c>
      <c r="M144" s="87">
        <v>0</v>
      </c>
      <c r="N144" s="87">
        <v>0</v>
      </c>
      <c r="O144" s="31"/>
      <c r="T144" s="25" t="str">
        <f t="shared" si="69"/>
        <v>A2124021123211</v>
      </c>
    </row>
    <row r="145" spans="1:20" ht="20.100000000000001" hidden="1" customHeight="1" outlineLevel="1" x14ac:dyDescent="0.2">
      <c r="A145" s="25" t="str">
        <f t="shared" si="67"/>
        <v>A2124021123214</v>
      </c>
      <c r="B145" s="30" t="s">
        <v>472</v>
      </c>
      <c r="C145" s="26" t="s">
        <v>328</v>
      </c>
      <c r="D145" s="30">
        <v>112</v>
      </c>
      <c r="E145" s="30" t="str">
        <f t="shared" ref="E145" si="73">LEFT(H145,1)</f>
        <v>3</v>
      </c>
      <c r="F145" s="30" t="str">
        <f t="shared" ref="F145" si="74">LEFT(H145,2)</f>
        <v>32</v>
      </c>
      <c r="G145" s="26" t="str">
        <f t="shared" ref="G145" si="75">LEFT(H145,3)</f>
        <v>321</v>
      </c>
      <c r="H145" s="86" t="s">
        <v>172</v>
      </c>
      <c r="I145" s="86" t="s">
        <v>174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31"/>
      <c r="T145" s="25" t="str">
        <f t="shared" si="69"/>
        <v>A2124021123214</v>
      </c>
    </row>
    <row r="146" spans="1:20" ht="20.100000000000001" hidden="1" customHeight="1" outlineLevel="1" x14ac:dyDescent="0.2">
      <c r="A146" s="25" t="str">
        <f t="shared" si="67"/>
        <v>A2124021123221</v>
      </c>
      <c r="B146" s="30" t="s">
        <v>472</v>
      </c>
      <c r="C146" s="26" t="s">
        <v>328</v>
      </c>
      <c r="D146" s="30">
        <v>112</v>
      </c>
      <c r="E146" s="30" t="str">
        <f t="shared" si="70"/>
        <v>3</v>
      </c>
      <c r="F146" s="30" t="str">
        <f t="shared" si="71"/>
        <v>32</v>
      </c>
      <c r="G146" s="26" t="str">
        <f t="shared" si="72"/>
        <v>322</v>
      </c>
      <c r="H146" s="86" t="s">
        <v>72</v>
      </c>
      <c r="I146" s="86" t="s">
        <v>74</v>
      </c>
      <c r="J146" s="87">
        <v>51967.26</v>
      </c>
      <c r="K146" s="87">
        <v>85000</v>
      </c>
      <c r="L146" s="87">
        <v>57718.130000000005</v>
      </c>
      <c r="M146" s="87">
        <v>111.06633291807188</v>
      </c>
      <c r="N146" s="87">
        <v>67.903682352941189</v>
      </c>
      <c r="O146" s="31"/>
      <c r="T146" s="25" t="str">
        <f t="shared" si="69"/>
        <v>A2124021123221</v>
      </c>
    </row>
    <row r="147" spans="1:20" ht="20.100000000000001" hidden="1" customHeight="1" outlineLevel="1" x14ac:dyDescent="0.2">
      <c r="A147" s="25" t="str">
        <f t="shared" si="67"/>
        <v>A2124021123222</v>
      </c>
      <c r="B147" s="30" t="s">
        <v>472</v>
      </c>
      <c r="C147" s="26" t="s">
        <v>328</v>
      </c>
      <c r="D147" s="30">
        <v>112</v>
      </c>
      <c r="E147" s="30" t="str">
        <f t="shared" si="70"/>
        <v>3</v>
      </c>
      <c r="F147" s="30" t="str">
        <f t="shared" si="71"/>
        <v>32</v>
      </c>
      <c r="G147" s="26" t="str">
        <f t="shared" si="72"/>
        <v>322</v>
      </c>
      <c r="H147" s="86" t="s">
        <v>75</v>
      </c>
      <c r="I147" s="86" t="s">
        <v>77</v>
      </c>
      <c r="J147" s="87">
        <v>1442.34</v>
      </c>
      <c r="K147" s="87">
        <v>23000</v>
      </c>
      <c r="L147" s="87">
        <v>2843.6</v>
      </c>
      <c r="M147" s="87">
        <v>197.15185046521626</v>
      </c>
      <c r="N147" s="87">
        <v>12.363478260869565</v>
      </c>
      <c r="O147" s="31"/>
      <c r="T147" s="25" t="str">
        <f t="shared" si="69"/>
        <v>A2124021123222</v>
      </c>
    </row>
    <row r="148" spans="1:20" ht="20.100000000000001" hidden="1" customHeight="1" outlineLevel="1" x14ac:dyDescent="0.2">
      <c r="A148" s="25" t="str">
        <f t="shared" si="67"/>
        <v>A2124021123231</v>
      </c>
      <c r="B148" s="30" t="s">
        <v>472</v>
      </c>
      <c r="C148" s="26" t="s">
        <v>328</v>
      </c>
      <c r="D148" s="30">
        <v>112</v>
      </c>
      <c r="E148" s="30" t="str">
        <f t="shared" si="70"/>
        <v>3</v>
      </c>
      <c r="F148" s="30" t="str">
        <f t="shared" si="71"/>
        <v>32</v>
      </c>
      <c r="G148" s="26" t="str">
        <f t="shared" si="72"/>
        <v>323</v>
      </c>
      <c r="H148" s="86" t="s">
        <v>87</v>
      </c>
      <c r="I148" s="86" t="s">
        <v>89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31"/>
      <c r="T148" s="25" t="str">
        <f t="shared" si="69"/>
        <v>A2124021123231</v>
      </c>
    </row>
    <row r="149" spans="1:20" ht="20.100000000000001" hidden="1" customHeight="1" outlineLevel="1" x14ac:dyDescent="0.2">
      <c r="A149" s="25" t="str">
        <f t="shared" si="67"/>
        <v>A2124021123232</v>
      </c>
      <c r="B149" s="30" t="s">
        <v>472</v>
      </c>
      <c r="C149" s="26" t="s">
        <v>328</v>
      </c>
      <c r="D149" s="30">
        <v>112</v>
      </c>
      <c r="E149" s="30" t="str">
        <f t="shared" si="70"/>
        <v>3</v>
      </c>
      <c r="F149" s="30" t="str">
        <f t="shared" si="71"/>
        <v>32</v>
      </c>
      <c r="G149" s="26" t="str">
        <f t="shared" si="72"/>
        <v>323</v>
      </c>
      <c r="H149" s="86" t="s">
        <v>38</v>
      </c>
      <c r="I149" s="86" t="s">
        <v>40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31"/>
      <c r="T149" s="25" t="str">
        <f t="shared" si="69"/>
        <v>A2124021123232</v>
      </c>
    </row>
    <row r="150" spans="1:20" ht="20.100000000000001" hidden="1" customHeight="1" outlineLevel="1" x14ac:dyDescent="0.2">
      <c r="A150" s="25" t="str">
        <f t="shared" si="67"/>
        <v>A2124021123233</v>
      </c>
      <c r="B150" s="30" t="s">
        <v>472</v>
      </c>
      <c r="C150" s="26" t="s">
        <v>328</v>
      </c>
      <c r="D150" s="30">
        <v>112</v>
      </c>
      <c r="E150" s="30" t="str">
        <f t="shared" si="70"/>
        <v>3</v>
      </c>
      <c r="F150" s="30" t="str">
        <f t="shared" si="71"/>
        <v>32</v>
      </c>
      <c r="G150" s="26" t="str">
        <f t="shared" si="72"/>
        <v>323</v>
      </c>
      <c r="H150" s="86" t="s">
        <v>91</v>
      </c>
      <c r="I150" s="86" t="s">
        <v>93</v>
      </c>
      <c r="J150" s="87">
        <v>0</v>
      </c>
      <c r="K150" s="87">
        <v>10000</v>
      </c>
      <c r="L150" s="87">
        <v>229.96</v>
      </c>
      <c r="M150" s="87">
        <v>0</v>
      </c>
      <c r="N150" s="87">
        <v>2.2995999999999999</v>
      </c>
      <c r="O150" s="31"/>
      <c r="T150" s="25" t="str">
        <f t="shared" si="69"/>
        <v>A2124021123233</v>
      </c>
    </row>
    <row r="151" spans="1:20" ht="20.100000000000001" hidden="1" customHeight="1" outlineLevel="1" x14ac:dyDescent="0.2">
      <c r="A151" s="25" t="str">
        <f t="shared" si="67"/>
        <v>A2124021123235</v>
      </c>
      <c r="B151" s="30" t="s">
        <v>472</v>
      </c>
      <c r="C151" s="26" t="s">
        <v>328</v>
      </c>
      <c r="D151" s="30">
        <v>112</v>
      </c>
      <c r="E151" s="30" t="str">
        <f t="shared" si="70"/>
        <v>3</v>
      </c>
      <c r="F151" s="30" t="str">
        <f t="shared" si="71"/>
        <v>32</v>
      </c>
      <c r="G151" s="26" t="str">
        <f t="shared" si="72"/>
        <v>323</v>
      </c>
      <c r="H151" s="86" t="s">
        <v>97</v>
      </c>
      <c r="I151" s="86" t="s">
        <v>99</v>
      </c>
      <c r="J151" s="87">
        <v>0</v>
      </c>
      <c r="K151" s="87">
        <v>0</v>
      </c>
      <c r="L151" s="87">
        <v>0</v>
      </c>
      <c r="M151" s="87">
        <v>0</v>
      </c>
      <c r="N151" s="87">
        <v>0</v>
      </c>
      <c r="O151" s="31"/>
      <c r="T151" s="25" t="str">
        <f t="shared" si="69"/>
        <v>A2124021123235</v>
      </c>
    </row>
    <row r="152" spans="1:20" ht="20.100000000000001" hidden="1" customHeight="1" outlineLevel="1" x14ac:dyDescent="0.2">
      <c r="A152" s="25" t="str">
        <f t="shared" si="67"/>
        <v>A2124021123237</v>
      </c>
      <c r="B152" s="30" t="s">
        <v>472</v>
      </c>
      <c r="C152" s="26" t="s">
        <v>328</v>
      </c>
      <c r="D152" s="30">
        <v>112</v>
      </c>
      <c r="E152" s="30" t="str">
        <f t="shared" si="70"/>
        <v>3</v>
      </c>
      <c r="F152" s="30" t="str">
        <f t="shared" si="71"/>
        <v>32</v>
      </c>
      <c r="G152" s="26" t="str">
        <f t="shared" si="72"/>
        <v>323</v>
      </c>
      <c r="H152" s="86" t="s">
        <v>41</v>
      </c>
      <c r="I152" s="86" t="s">
        <v>43</v>
      </c>
      <c r="J152" s="87">
        <v>28775.84</v>
      </c>
      <c r="K152" s="87">
        <v>100000</v>
      </c>
      <c r="L152" s="87">
        <v>54807.09</v>
      </c>
      <c r="M152" s="87">
        <v>190.46217243354147</v>
      </c>
      <c r="N152" s="87">
        <v>54.807089999999988</v>
      </c>
      <c r="O152" s="31"/>
      <c r="T152" s="25" t="str">
        <f t="shared" si="69"/>
        <v>A2124021123237</v>
      </c>
    </row>
    <row r="153" spans="1:20" ht="20.100000000000001" hidden="1" customHeight="1" outlineLevel="1" x14ac:dyDescent="0.2">
      <c r="A153" s="25" t="str">
        <f t="shared" si="67"/>
        <v>A2124021123238</v>
      </c>
      <c r="B153" s="30" t="s">
        <v>472</v>
      </c>
      <c r="C153" s="26" t="s">
        <v>328</v>
      </c>
      <c r="D153" s="30">
        <v>112</v>
      </c>
      <c r="E153" s="30" t="str">
        <f t="shared" si="70"/>
        <v>3</v>
      </c>
      <c r="F153" s="30" t="str">
        <f t="shared" si="71"/>
        <v>32</v>
      </c>
      <c r="G153" s="26" t="str">
        <f t="shared" si="72"/>
        <v>323</v>
      </c>
      <c r="H153" s="86" t="s">
        <v>104</v>
      </c>
      <c r="I153" s="86" t="s">
        <v>106</v>
      </c>
      <c r="J153" s="87">
        <v>0</v>
      </c>
      <c r="K153" s="87">
        <v>23000</v>
      </c>
      <c r="L153" s="87">
        <v>1562.5</v>
      </c>
      <c r="M153" s="87">
        <v>0</v>
      </c>
      <c r="N153" s="87">
        <v>6.7934782608695645</v>
      </c>
      <c r="O153" s="31"/>
      <c r="T153" s="25" t="str">
        <f t="shared" si="69"/>
        <v>A2124021123238</v>
      </c>
    </row>
    <row r="154" spans="1:20" ht="20.100000000000001" hidden="1" customHeight="1" outlineLevel="1" x14ac:dyDescent="0.2">
      <c r="A154" s="25" t="str">
        <f t="shared" si="67"/>
        <v>A2124021123239</v>
      </c>
      <c r="B154" s="30" t="s">
        <v>472</v>
      </c>
      <c r="C154" s="26" t="s">
        <v>328</v>
      </c>
      <c r="D154" s="30">
        <v>112</v>
      </c>
      <c r="E154" s="30" t="str">
        <f t="shared" si="70"/>
        <v>3</v>
      </c>
      <c r="F154" s="30" t="str">
        <f t="shared" si="71"/>
        <v>32</v>
      </c>
      <c r="G154" s="26" t="str">
        <f t="shared" si="72"/>
        <v>323</v>
      </c>
      <c r="H154" s="86" t="s">
        <v>126</v>
      </c>
      <c r="I154" s="86" t="s">
        <v>128</v>
      </c>
      <c r="J154" s="87">
        <v>6322.74</v>
      </c>
      <c r="K154" s="87">
        <v>29000</v>
      </c>
      <c r="L154" s="87">
        <v>4964.9000000000005</v>
      </c>
      <c r="M154" s="87">
        <v>78.524500453917142</v>
      </c>
      <c r="N154" s="87">
        <v>17.120344827586209</v>
      </c>
      <c r="O154" s="31"/>
      <c r="T154" s="25" t="str">
        <f t="shared" si="69"/>
        <v>A2124021123239</v>
      </c>
    </row>
    <row r="155" spans="1:20" ht="20.100000000000001" hidden="1" customHeight="1" outlineLevel="1" x14ac:dyDescent="0.2">
      <c r="A155" s="25" t="str">
        <f t="shared" si="67"/>
        <v>A2124021123293</v>
      </c>
      <c r="B155" s="30" t="s">
        <v>472</v>
      </c>
      <c r="C155" s="26" t="s">
        <v>328</v>
      </c>
      <c r="D155" s="30">
        <v>112</v>
      </c>
      <c r="E155" s="30" t="str">
        <f t="shared" si="70"/>
        <v>3</v>
      </c>
      <c r="F155" s="30" t="str">
        <f t="shared" si="71"/>
        <v>32</v>
      </c>
      <c r="G155" s="26" t="str">
        <f t="shared" si="72"/>
        <v>329</v>
      </c>
      <c r="H155" s="86" t="s">
        <v>154</v>
      </c>
      <c r="I155" s="86" t="s">
        <v>156</v>
      </c>
      <c r="J155" s="87">
        <v>0</v>
      </c>
      <c r="K155" s="87">
        <v>10000</v>
      </c>
      <c r="L155" s="87">
        <v>0</v>
      </c>
      <c r="M155" s="87">
        <v>0</v>
      </c>
      <c r="N155" s="87">
        <v>0</v>
      </c>
      <c r="O155" s="31"/>
      <c r="T155" s="25" t="str">
        <f t="shared" si="69"/>
        <v>A2124021123293</v>
      </c>
    </row>
    <row r="156" spans="1:20" ht="24.95" customHeight="1" collapsed="1" x14ac:dyDescent="0.2">
      <c r="B156" s="30"/>
      <c r="H156" s="230" t="s">
        <v>129</v>
      </c>
      <c r="I156" s="230"/>
      <c r="J156" s="79">
        <v>32073.84</v>
      </c>
      <c r="K156" s="79">
        <v>92800</v>
      </c>
      <c r="L156" s="79">
        <v>20226.89</v>
      </c>
      <c r="M156" s="79">
        <v>63.063512195608631</v>
      </c>
      <c r="N156" s="79">
        <v>21.796217672413793</v>
      </c>
      <c r="O156" s="25" t="s">
        <v>347</v>
      </c>
      <c r="P156" s="25" t="s">
        <v>349</v>
      </c>
    </row>
    <row r="157" spans="1:20" ht="20.100000000000001" hidden="1" customHeight="1" outlineLevel="1" x14ac:dyDescent="0.2">
      <c r="A157" s="25" t="str">
        <f t="shared" si="67"/>
        <v>A2124024313211</v>
      </c>
      <c r="B157" s="30" t="s">
        <v>472</v>
      </c>
      <c r="C157" s="26" t="s">
        <v>328</v>
      </c>
      <c r="D157" s="30">
        <v>431</v>
      </c>
      <c r="E157" s="30" t="str">
        <f t="shared" ref="E157:E168" si="76">LEFT(H157,1)</f>
        <v>3</v>
      </c>
      <c r="F157" s="30" t="str">
        <f t="shared" ref="F157:F168" si="77">LEFT(H157,2)</f>
        <v>32</v>
      </c>
      <c r="G157" s="26" t="str">
        <f t="shared" si="72"/>
        <v>321</v>
      </c>
      <c r="H157" s="86" t="s">
        <v>130</v>
      </c>
      <c r="I157" s="86" t="s">
        <v>132</v>
      </c>
      <c r="J157" s="87">
        <v>11071.82</v>
      </c>
      <c r="K157" s="87">
        <v>15000</v>
      </c>
      <c r="L157" s="87">
        <v>10818.1</v>
      </c>
      <c r="M157" s="87">
        <v>97.708416502435924</v>
      </c>
      <c r="N157" s="87">
        <v>72.120666666666665</v>
      </c>
      <c r="O157" s="31"/>
      <c r="T157" s="25" t="str">
        <f t="shared" si="69"/>
        <v>A2124024313211</v>
      </c>
    </row>
    <row r="158" spans="1:20" ht="20.100000000000001" hidden="1" customHeight="1" outlineLevel="1" x14ac:dyDescent="0.2">
      <c r="A158" s="25" t="str">
        <f t="shared" si="67"/>
        <v>A2124024313213</v>
      </c>
      <c r="B158" s="30" t="s">
        <v>472</v>
      </c>
      <c r="C158" s="26" t="s">
        <v>328</v>
      </c>
      <c r="D158" s="30">
        <v>431</v>
      </c>
      <c r="E158" s="30" t="str">
        <f t="shared" si="76"/>
        <v>3</v>
      </c>
      <c r="F158" s="30" t="str">
        <f t="shared" si="77"/>
        <v>32</v>
      </c>
      <c r="G158" s="26" t="str">
        <f t="shared" si="72"/>
        <v>321</v>
      </c>
      <c r="H158" s="86" t="s">
        <v>69</v>
      </c>
      <c r="I158" s="86" t="s">
        <v>71</v>
      </c>
      <c r="J158" s="87">
        <v>1401.47</v>
      </c>
      <c r="K158" s="87">
        <v>0</v>
      </c>
      <c r="L158" s="87">
        <v>0</v>
      </c>
      <c r="M158" s="87">
        <v>0</v>
      </c>
      <c r="N158" s="87">
        <v>0</v>
      </c>
      <c r="O158" s="31"/>
      <c r="T158" s="25" t="str">
        <f t="shared" si="69"/>
        <v>A2124024313213</v>
      </c>
    </row>
    <row r="159" spans="1:20" ht="20.100000000000001" hidden="1" customHeight="1" outlineLevel="1" x14ac:dyDescent="0.2">
      <c r="A159" s="25" t="str">
        <f t="shared" si="67"/>
        <v>A2124024313221</v>
      </c>
      <c r="B159" s="30" t="s">
        <v>472</v>
      </c>
      <c r="C159" s="26" t="s">
        <v>328</v>
      </c>
      <c r="D159" s="30">
        <v>431</v>
      </c>
      <c r="E159" s="30" t="str">
        <f t="shared" si="76"/>
        <v>3</v>
      </c>
      <c r="F159" s="30" t="str">
        <f t="shared" si="77"/>
        <v>32</v>
      </c>
      <c r="G159" s="26" t="str">
        <f t="shared" si="72"/>
        <v>322</v>
      </c>
      <c r="H159" s="86" t="s">
        <v>72</v>
      </c>
      <c r="I159" s="86" t="s">
        <v>74</v>
      </c>
      <c r="J159" s="87">
        <v>1667.43</v>
      </c>
      <c r="K159" s="87">
        <v>25000</v>
      </c>
      <c r="L159" s="87">
        <v>2011.2</v>
      </c>
      <c r="M159" s="87">
        <v>120.61675752505352</v>
      </c>
      <c r="N159" s="87">
        <v>8.0448000000000004</v>
      </c>
      <c r="O159" s="31"/>
      <c r="T159" s="25" t="str">
        <f t="shared" si="69"/>
        <v>A2124024313221</v>
      </c>
    </row>
    <row r="160" spans="1:20" ht="20.100000000000001" hidden="1" customHeight="1" outlineLevel="1" x14ac:dyDescent="0.2">
      <c r="A160" s="25" t="str">
        <f t="shared" si="67"/>
        <v>A2124024313222</v>
      </c>
      <c r="B160" s="30" t="s">
        <v>472</v>
      </c>
      <c r="C160" s="26" t="s">
        <v>328</v>
      </c>
      <c r="D160" s="30">
        <v>431</v>
      </c>
      <c r="E160" s="30" t="str">
        <f t="shared" si="76"/>
        <v>3</v>
      </c>
      <c r="F160" s="30" t="str">
        <f t="shared" si="77"/>
        <v>32</v>
      </c>
      <c r="G160" s="26" t="str">
        <f t="shared" si="72"/>
        <v>322</v>
      </c>
      <c r="H160" s="86" t="s">
        <v>75</v>
      </c>
      <c r="I160" s="86" t="s">
        <v>77</v>
      </c>
      <c r="J160" s="87">
        <v>807.99</v>
      </c>
      <c r="K160" s="87">
        <v>0</v>
      </c>
      <c r="L160" s="87">
        <v>386.52</v>
      </c>
      <c r="M160" s="87">
        <v>47.837225708238961</v>
      </c>
      <c r="N160" s="87">
        <v>0</v>
      </c>
      <c r="O160" s="31"/>
      <c r="T160" s="25" t="str">
        <f t="shared" si="69"/>
        <v>A2124024313222</v>
      </c>
    </row>
    <row r="161" spans="1:20" ht="20.100000000000001" hidden="1" customHeight="1" outlineLevel="1" x14ac:dyDescent="0.2">
      <c r="A161" s="25" t="str">
        <f t="shared" si="67"/>
        <v>A2124024313225</v>
      </c>
      <c r="B161" s="30" t="s">
        <v>472</v>
      </c>
      <c r="C161" s="26" t="s">
        <v>328</v>
      </c>
      <c r="D161" s="30">
        <v>431</v>
      </c>
      <c r="E161" s="30" t="str">
        <f t="shared" si="76"/>
        <v>3</v>
      </c>
      <c r="F161" s="30" t="str">
        <f t="shared" si="77"/>
        <v>32</v>
      </c>
      <c r="G161" s="26" t="str">
        <f t="shared" si="72"/>
        <v>322</v>
      </c>
      <c r="H161" s="86" t="s">
        <v>84</v>
      </c>
      <c r="I161" s="86" t="s">
        <v>86</v>
      </c>
      <c r="J161" s="87">
        <v>405.5</v>
      </c>
      <c r="K161" s="87">
        <v>500</v>
      </c>
      <c r="L161" s="87">
        <v>0</v>
      </c>
      <c r="M161" s="87">
        <v>0</v>
      </c>
      <c r="N161" s="87">
        <v>0</v>
      </c>
      <c r="O161" s="31"/>
      <c r="T161" s="25" t="str">
        <f t="shared" si="69"/>
        <v>A2124024313225</v>
      </c>
    </row>
    <row r="162" spans="1:20" ht="20.100000000000001" hidden="1" customHeight="1" outlineLevel="1" x14ac:dyDescent="0.2">
      <c r="A162" s="25" t="str">
        <f t="shared" si="67"/>
        <v>A2124024313231</v>
      </c>
      <c r="B162" s="30" t="s">
        <v>472</v>
      </c>
      <c r="C162" s="26" t="s">
        <v>328</v>
      </c>
      <c r="D162" s="30">
        <v>431</v>
      </c>
      <c r="E162" s="30" t="str">
        <f t="shared" si="76"/>
        <v>3</v>
      </c>
      <c r="F162" s="30" t="str">
        <f t="shared" si="77"/>
        <v>32</v>
      </c>
      <c r="G162" s="26" t="str">
        <f t="shared" si="72"/>
        <v>323</v>
      </c>
      <c r="H162" s="86" t="s">
        <v>87</v>
      </c>
      <c r="I162" s="86" t="s">
        <v>89</v>
      </c>
      <c r="J162" s="87">
        <v>9.2899999999999991</v>
      </c>
      <c r="K162" s="87">
        <v>0</v>
      </c>
      <c r="L162" s="87">
        <v>0</v>
      </c>
      <c r="M162" s="87">
        <v>0</v>
      </c>
      <c r="N162" s="87">
        <v>0</v>
      </c>
      <c r="O162" s="31"/>
      <c r="T162" s="25" t="str">
        <f t="shared" si="69"/>
        <v>A2124024313231</v>
      </c>
    </row>
    <row r="163" spans="1:20" ht="20.100000000000001" hidden="1" customHeight="1" outlineLevel="1" x14ac:dyDescent="0.2">
      <c r="A163" s="25" t="str">
        <f t="shared" si="67"/>
        <v>A2124024313233</v>
      </c>
      <c r="B163" s="30" t="s">
        <v>472</v>
      </c>
      <c r="C163" s="26" t="s">
        <v>328</v>
      </c>
      <c r="D163" s="30">
        <v>431</v>
      </c>
      <c r="E163" s="30" t="str">
        <f t="shared" si="76"/>
        <v>3</v>
      </c>
      <c r="F163" s="30" t="str">
        <f t="shared" si="77"/>
        <v>32</v>
      </c>
      <c r="G163" s="26" t="str">
        <f t="shared" si="72"/>
        <v>323</v>
      </c>
      <c r="H163" s="86" t="s">
        <v>91</v>
      </c>
      <c r="I163" s="86" t="s">
        <v>93</v>
      </c>
      <c r="J163" s="87">
        <v>0</v>
      </c>
      <c r="K163" s="87">
        <v>4300</v>
      </c>
      <c r="L163" s="87">
        <v>250</v>
      </c>
      <c r="M163" s="87">
        <v>0</v>
      </c>
      <c r="N163" s="87">
        <v>5.8139534883720927</v>
      </c>
      <c r="O163" s="31"/>
      <c r="T163" s="25" t="str">
        <f t="shared" si="69"/>
        <v>A2124024313233</v>
      </c>
    </row>
    <row r="164" spans="1:20" ht="20.100000000000001" hidden="1" customHeight="1" outlineLevel="1" x14ac:dyDescent="0.2">
      <c r="A164" s="25" t="str">
        <f t="shared" si="67"/>
        <v>A2124024313235</v>
      </c>
      <c r="B164" s="30" t="s">
        <v>472</v>
      </c>
      <c r="C164" s="26" t="s">
        <v>328</v>
      </c>
      <c r="D164" s="30">
        <v>431</v>
      </c>
      <c r="E164" s="30" t="str">
        <f t="shared" si="76"/>
        <v>3</v>
      </c>
      <c r="F164" s="30" t="str">
        <f t="shared" si="77"/>
        <v>32</v>
      </c>
      <c r="G164" s="26" t="str">
        <f t="shared" si="72"/>
        <v>323</v>
      </c>
      <c r="H164" s="86" t="s">
        <v>97</v>
      </c>
      <c r="I164" s="86" t="s">
        <v>99</v>
      </c>
      <c r="J164" s="87">
        <v>0</v>
      </c>
      <c r="K164" s="87">
        <v>0</v>
      </c>
      <c r="L164" s="87">
        <v>0</v>
      </c>
      <c r="M164" s="87">
        <v>0</v>
      </c>
      <c r="N164" s="87">
        <v>0</v>
      </c>
      <c r="O164" s="31"/>
      <c r="T164" s="25" t="str">
        <f t="shared" si="69"/>
        <v>A2124024313235</v>
      </c>
    </row>
    <row r="165" spans="1:20" ht="20.100000000000001" hidden="1" customHeight="1" outlineLevel="1" x14ac:dyDescent="0.2">
      <c r="A165" s="25" t="str">
        <f t="shared" si="67"/>
        <v>A2124024313237</v>
      </c>
      <c r="B165" s="30" t="s">
        <v>472</v>
      </c>
      <c r="C165" s="26" t="s">
        <v>328</v>
      </c>
      <c r="D165" s="30">
        <v>431</v>
      </c>
      <c r="E165" s="30" t="str">
        <f t="shared" si="76"/>
        <v>3</v>
      </c>
      <c r="F165" s="30" t="str">
        <f t="shared" si="77"/>
        <v>32</v>
      </c>
      <c r="G165" s="26" t="str">
        <f t="shared" si="72"/>
        <v>323</v>
      </c>
      <c r="H165" s="86" t="s">
        <v>41</v>
      </c>
      <c r="I165" s="86" t="s">
        <v>43</v>
      </c>
      <c r="J165" s="87">
        <v>14398.11</v>
      </c>
      <c r="K165" s="87">
        <v>32500</v>
      </c>
      <c r="L165" s="87">
        <v>5380</v>
      </c>
      <c r="M165" s="87">
        <v>37.366015400632442</v>
      </c>
      <c r="N165" s="87">
        <v>16.553846153846155</v>
      </c>
      <c r="O165" s="31"/>
      <c r="T165" s="25" t="str">
        <f t="shared" si="69"/>
        <v>A2124024313237</v>
      </c>
    </row>
    <row r="166" spans="1:20" ht="20.100000000000001" hidden="1" customHeight="1" outlineLevel="1" x14ac:dyDescent="0.2">
      <c r="A166" s="25" t="str">
        <f t="shared" si="67"/>
        <v>A2124024313238</v>
      </c>
      <c r="B166" s="30" t="s">
        <v>472</v>
      </c>
      <c r="C166" s="26" t="s">
        <v>328</v>
      </c>
      <c r="D166" s="30">
        <v>431</v>
      </c>
      <c r="E166" s="30" t="str">
        <f t="shared" si="76"/>
        <v>3</v>
      </c>
      <c r="F166" s="30" t="str">
        <f t="shared" si="77"/>
        <v>32</v>
      </c>
      <c r="G166" s="26" t="str">
        <f t="shared" si="72"/>
        <v>323</v>
      </c>
      <c r="H166" s="86" t="s">
        <v>104</v>
      </c>
      <c r="I166" s="86" t="s">
        <v>106</v>
      </c>
      <c r="J166" s="87">
        <v>0</v>
      </c>
      <c r="K166" s="87">
        <v>1000</v>
      </c>
      <c r="L166" s="87">
        <v>0</v>
      </c>
      <c r="M166" s="87">
        <v>0</v>
      </c>
      <c r="N166" s="87">
        <v>0</v>
      </c>
      <c r="O166" s="31"/>
      <c r="T166" s="25" t="str">
        <f t="shared" si="69"/>
        <v>A2124024313238</v>
      </c>
    </row>
    <row r="167" spans="1:20" ht="20.100000000000001" hidden="1" customHeight="1" outlineLevel="1" x14ac:dyDescent="0.2">
      <c r="A167" s="25" t="str">
        <f t="shared" si="67"/>
        <v>A2124024313239</v>
      </c>
      <c r="B167" s="30" t="s">
        <v>472</v>
      </c>
      <c r="C167" s="26" t="s">
        <v>328</v>
      </c>
      <c r="D167" s="30">
        <v>431</v>
      </c>
      <c r="E167" s="30" t="str">
        <f t="shared" si="76"/>
        <v>3</v>
      </c>
      <c r="F167" s="30" t="str">
        <f t="shared" si="77"/>
        <v>32</v>
      </c>
      <c r="G167" s="26" t="str">
        <f t="shared" si="72"/>
        <v>323</v>
      </c>
      <c r="H167" s="86" t="s">
        <v>126</v>
      </c>
      <c r="I167" s="86" t="s">
        <v>128</v>
      </c>
      <c r="J167" s="87">
        <v>1188.22</v>
      </c>
      <c r="K167" s="87">
        <v>11000</v>
      </c>
      <c r="L167" s="87">
        <v>717.28</v>
      </c>
      <c r="M167" s="87">
        <v>60.365925502011407</v>
      </c>
      <c r="N167" s="87">
        <v>6.5207272727272727</v>
      </c>
      <c r="O167" s="31"/>
      <c r="T167" s="25" t="str">
        <f t="shared" si="69"/>
        <v>A2124024313239</v>
      </c>
    </row>
    <row r="168" spans="1:20" ht="20.100000000000001" hidden="1" customHeight="1" outlineLevel="1" x14ac:dyDescent="0.2">
      <c r="A168" s="25" t="str">
        <f t="shared" si="67"/>
        <v>A2124024313293</v>
      </c>
      <c r="B168" s="30" t="s">
        <v>472</v>
      </c>
      <c r="C168" s="26" t="s">
        <v>328</v>
      </c>
      <c r="D168" s="30">
        <v>431</v>
      </c>
      <c r="E168" s="30" t="str">
        <f t="shared" si="76"/>
        <v>3</v>
      </c>
      <c r="F168" s="30" t="str">
        <f t="shared" si="77"/>
        <v>32</v>
      </c>
      <c r="G168" s="26" t="str">
        <f t="shared" si="72"/>
        <v>329</v>
      </c>
      <c r="H168" s="86" t="s">
        <v>154</v>
      </c>
      <c r="I168" s="86" t="s">
        <v>156</v>
      </c>
      <c r="J168" s="87">
        <v>1124.01</v>
      </c>
      <c r="K168" s="87">
        <v>3500</v>
      </c>
      <c r="L168" s="87">
        <v>663.79</v>
      </c>
      <c r="M168" s="87">
        <v>59.055524417042548</v>
      </c>
      <c r="N168" s="87">
        <v>18.965428571428568</v>
      </c>
      <c r="O168" s="31" t="s">
        <v>354</v>
      </c>
      <c r="P168" s="25" t="s">
        <v>353</v>
      </c>
      <c r="T168" s="25" t="str">
        <f t="shared" si="69"/>
        <v>A2124024313293</v>
      </c>
    </row>
    <row r="169" spans="1:20" ht="24.95" customHeight="1" collapsed="1" x14ac:dyDescent="0.2">
      <c r="B169" s="30"/>
      <c r="H169" s="230" t="s">
        <v>581</v>
      </c>
      <c r="I169" s="230"/>
      <c r="J169" s="79">
        <v>0</v>
      </c>
      <c r="K169" s="79">
        <v>54000</v>
      </c>
      <c r="L169" s="79">
        <v>300</v>
      </c>
      <c r="M169" s="79">
        <v>0</v>
      </c>
      <c r="N169" s="79">
        <v>0.55555555555555558</v>
      </c>
    </row>
    <row r="170" spans="1:20" ht="20.100000000000001" hidden="1" customHeight="1" outlineLevel="1" x14ac:dyDescent="0.2">
      <c r="A170" s="25" t="str">
        <f t="shared" si="67"/>
        <v>A2124025103211</v>
      </c>
      <c r="B170" s="30" t="s">
        <v>472</v>
      </c>
      <c r="C170" s="26" t="s">
        <v>328</v>
      </c>
      <c r="D170" s="30">
        <v>510</v>
      </c>
      <c r="E170" s="30" t="str">
        <f>LEFT(H170,1)</f>
        <v>3</v>
      </c>
      <c r="F170" s="30" t="str">
        <f>LEFT(H170,2)</f>
        <v>32</v>
      </c>
      <c r="G170" s="26" t="str">
        <f t="shared" ref="G170:G176" si="78">LEFT(H170,3)</f>
        <v>321</v>
      </c>
      <c r="H170" s="86" t="s">
        <v>130</v>
      </c>
      <c r="I170" s="86" t="s">
        <v>132</v>
      </c>
      <c r="J170" s="87">
        <v>0</v>
      </c>
      <c r="K170" s="87">
        <v>35000</v>
      </c>
      <c r="L170" s="87">
        <v>0</v>
      </c>
      <c r="M170" s="87">
        <v>0</v>
      </c>
      <c r="N170" s="87">
        <v>0</v>
      </c>
      <c r="O170" s="31"/>
      <c r="T170" s="25" t="str">
        <f t="shared" si="69"/>
        <v>A2124025103211</v>
      </c>
    </row>
    <row r="171" spans="1:20" ht="20.100000000000001" hidden="1" customHeight="1" outlineLevel="1" x14ac:dyDescent="0.2">
      <c r="A171" s="25" t="str">
        <f t="shared" si="67"/>
        <v>A2124025103213</v>
      </c>
      <c r="B171" s="30" t="s">
        <v>472</v>
      </c>
      <c r="C171" s="26" t="s">
        <v>328</v>
      </c>
      <c r="D171" s="30">
        <v>510</v>
      </c>
      <c r="E171" s="30" t="str">
        <f>LEFT(H171,1)</f>
        <v>3</v>
      </c>
      <c r="F171" s="30" t="str">
        <f>LEFT(H171,2)</f>
        <v>32</v>
      </c>
      <c r="G171" s="26" t="str">
        <f t="shared" si="78"/>
        <v>321</v>
      </c>
      <c r="H171" s="86" t="s">
        <v>69</v>
      </c>
      <c r="I171" s="86" t="s">
        <v>71</v>
      </c>
      <c r="J171" s="87">
        <v>0</v>
      </c>
      <c r="K171" s="87">
        <v>9000</v>
      </c>
      <c r="L171" s="87">
        <v>0</v>
      </c>
      <c r="M171" s="87">
        <v>0</v>
      </c>
      <c r="N171" s="87">
        <v>0</v>
      </c>
      <c r="O171" s="31"/>
      <c r="T171" s="25" t="str">
        <f t="shared" si="69"/>
        <v>A2124025103213</v>
      </c>
    </row>
    <row r="172" spans="1:20" ht="20.100000000000001" hidden="1" customHeight="1" outlineLevel="1" x14ac:dyDescent="0.2">
      <c r="A172" s="25" t="str">
        <f t="shared" si="67"/>
        <v>A2124025103222</v>
      </c>
      <c r="B172" s="30" t="s">
        <v>472</v>
      </c>
      <c r="C172" s="26" t="s">
        <v>328</v>
      </c>
      <c r="D172" s="30">
        <v>510</v>
      </c>
      <c r="E172" s="30" t="str">
        <f t="shared" ref="E172" si="79">LEFT(H172,1)</f>
        <v>3</v>
      </c>
      <c r="F172" s="30" t="str">
        <f t="shared" ref="F172" si="80">LEFT(H172,2)</f>
        <v>32</v>
      </c>
      <c r="G172" s="26" t="str">
        <f t="shared" si="78"/>
        <v>322</v>
      </c>
      <c r="H172" s="86" t="s">
        <v>75</v>
      </c>
      <c r="I172" s="86" t="s">
        <v>77</v>
      </c>
      <c r="J172" s="87">
        <v>0</v>
      </c>
      <c r="K172" s="87">
        <v>0</v>
      </c>
      <c r="L172" s="87">
        <v>0</v>
      </c>
      <c r="M172" s="87">
        <v>0</v>
      </c>
      <c r="N172" s="87">
        <v>0</v>
      </c>
      <c r="O172" s="31"/>
      <c r="T172" s="25" t="str">
        <f t="shared" si="69"/>
        <v>A2124025103222</v>
      </c>
    </row>
    <row r="173" spans="1:20" ht="20.100000000000001" hidden="1" customHeight="1" outlineLevel="1" x14ac:dyDescent="0.2">
      <c r="A173" s="25" t="str">
        <f t="shared" ref="A173:A237" si="81">CONCATENATE(C173,D173,H173)</f>
        <v>A2124025103232</v>
      </c>
      <c r="B173" s="30" t="s">
        <v>472</v>
      </c>
      <c r="C173" s="26" t="s">
        <v>328</v>
      </c>
      <c r="D173" s="30">
        <v>510</v>
      </c>
      <c r="E173" s="30" t="str">
        <f>LEFT(H173,1)</f>
        <v>3</v>
      </c>
      <c r="F173" s="30" t="str">
        <f>LEFT(H173,2)</f>
        <v>32</v>
      </c>
      <c r="G173" s="26" t="str">
        <f t="shared" si="78"/>
        <v>323</v>
      </c>
      <c r="H173" s="86" t="s">
        <v>38</v>
      </c>
      <c r="I173" s="86" t="s">
        <v>40</v>
      </c>
      <c r="J173" s="87">
        <v>0</v>
      </c>
      <c r="K173" s="87">
        <v>0</v>
      </c>
      <c r="L173" s="87">
        <v>0</v>
      </c>
      <c r="M173" s="87">
        <v>0</v>
      </c>
      <c r="N173" s="87">
        <v>0</v>
      </c>
      <c r="O173" s="31"/>
      <c r="T173" s="25" t="str">
        <f t="shared" si="69"/>
        <v>A2124025103232</v>
      </c>
    </row>
    <row r="174" spans="1:20" ht="20.100000000000001" hidden="1" customHeight="1" outlineLevel="1" x14ac:dyDescent="0.2">
      <c r="A174" s="25" t="str">
        <f t="shared" si="81"/>
        <v>A2124025103233</v>
      </c>
      <c r="B174" s="30" t="s">
        <v>472</v>
      </c>
      <c r="C174" s="26" t="s">
        <v>328</v>
      </c>
      <c r="D174" s="30">
        <v>510</v>
      </c>
      <c r="E174" s="30" t="str">
        <f>LEFT(H174,1)</f>
        <v>3</v>
      </c>
      <c r="F174" s="30" t="str">
        <f>LEFT(H174,2)</f>
        <v>32</v>
      </c>
      <c r="G174" s="26" t="str">
        <f t="shared" si="78"/>
        <v>323</v>
      </c>
      <c r="H174" s="86" t="s">
        <v>91</v>
      </c>
      <c r="I174" s="86" t="s">
        <v>93</v>
      </c>
      <c r="J174" s="87">
        <v>0</v>
      </c>
      <c r="K174" s="87">
        <v>4500</v>
      </c>
      <c r="L174" s="87">
        <v>0</v>
      </c>
      <c r="M174" s="87">
        <v>0</v>
      </c>
      <c r="N174" s="87">
        <v>0</v>
      </c>
      <c r="O174" s="31"/>
      <c r="T174" s="25" t="str">
        <f t="shared" si="69"/>
        <v>A2124025103233</v>
      </c>
    </row>
    <row r="175" spans="1:20" ht="20.100000000000001" hidden="1" customHeight="1" outlineLevel="1" x14ac:dyDescent="0.2">
      <c r="A175" s="25" t="str">
        <f t="shared" si="81"/>
        <v>A2124025103237</v>
      </c>
      <c r="B175" s="30" t="s">
        <v>472</v>
      </c>
      <c r="C175" s="26" t="s">
        <v>328</v>
      </c>
      <c r="D175" s="30">
        <v>510</v>
      </c>
      <c r="E175" s="30" t="str">
        <f t="shared" ref="E175" si="82">LEFT(H175,1)</f>
        <v>3</v>
      </c>
      <c r="F175" s="30" t="str">
        <f t="shared" ref="F175" si="83">LEFT(H175,2)</f>
        <v>32</v>
      </c>
      <c r="G175" s="26" t="str">
        <f t="shared" si="78"/>
        <v>323</v>
      </c>
      <c r="H175" s="86" t="s">
        <v>41</v>
      </c>
      <c r="I175" s="86" t="s">
        <v>43</v>
      </c>
      <c r="J175" s="87">
        <v>0</v>
      </c>
      <c r="K175" s="87">
        <v>1500</v>
      </c>
      <c r="L175" s="87">
        <v>300</v>
      </c>
      <c r="M175" s="87">
        <v>0</v>
      </c>
      <c r="N175" s="87">
        <v>20</v>
      </c>
      <c r="O175" s="31"/>
      <c r="T175" s="25" t="str">
        <f t="shared" si="69"/>
        <v>A2124025103237</v>
      </c>
    </row>
    <row r="176" spans="1:20" ht="20.100000000000001" hidden="1" customHeight="1" outlineLevel="1" x14ac:dyDescent="0.2">
      <c r="A176" s="25" t="str">
        <f t="shared" si="81"/>
        <v>A2124025103293</v>
      </c>
      <c r="B176" s="30" t="s">
        <v>472</v>
      </c>
      <c r="C176" s="26" t="s">
        <v>328</v>
      </c>
      <c r="D176" s="30">
        <v>510</v>
      </c>
      <c r="E176" s="30" t="str">
        <f>LEFT(H176,1)</f>
        <v>3</v>
      </c>
      <c r="F176" s="30" t="str">
        <f>LEFT(H176,2)</f>
        <v>32</v>
      </c>
      <c r="G176" s="26" t="str">
        <f t="shared" si="78"/>
        <v>329</v>
      </c>
      <c r="H176" s="86" t="s">
        <v>154</v>
      </c>
      <c r="I176" s="86" t="s">
        <v>156</v>
      </c>
      <c r="J176" s="87">
        <v>0</v>
      </c>
      <c r="K176" s="87">
        <v>4000</v>
      </c>
      <c r="L176" s="87">
        <v>0</v>
      </c>
      <c r="M176" s="87">
        <v>0</v>
      </c>
      <c r="N176" s="87">
        <v>0</v>
      </c>
      <c r="O176" s="31"/>
      <c r="T176" s="25" t="str">
        <f t="shared" si="69"/>
        <v>A2124025103293</v>
      </c>
    </row>
    <row r="177" spans="1:20" ht="24.95" customHeight="1" collapsed="1" x14ac:dyDescent="0.2">
      <c r="B177" s="30"/>
      <c r="H177" s="230" t="s">
        <v>26</v>
      </c>
      <c r="I177" s="230"/>
      <c r="J177" s="79">
        <v>19128</v>
      </c>
      <c r="K177" s="79">
        <v>79900</v>
      </c>
      <c r="L177" s="79">
        <v>36651.31</v>
      </c>
      <c r="M177" s="79">
        <v>191.61078000836469</v>
      </c>
      <c r="N177" s="79">
        <v>45.871476846057568</v>
      </c>
      <c r="O177" s="25">
        <f>SUMIFS(O178:O367,$C178:$C367,"A212402",$D178:$D367,"521")</f>
        <v>65022.73</v>
      </c>
      <c r="P177" s="25">
        <f>SUMIFS(P178:P367,$C178:$C367,"A212402",$D178:$D367,"521")</f>
        <v>5160.45</v>
      </c>
    </row>
    <row r="178" spans="1:20" ht="20.100000000000001" hidden="1" customHeight="1" outlineLevel="1" x14ac:dyDescent="0.2">
      <c r="A178" s="25" t="str">
        <f t="shared" si="81"/>
        <v>A2124025213111</v>
      </c>
      <c r="B178" s="30" t="s">
        <v>472</v>
      </c>
      <c r="C178" s="26" t="s">
        <v>328</v>
      </c>
      <c r="D178" s="30">
        <v>521</v>
      </c>
      <c r="E178" s="30" t="str">
        <f t="shared" ref="E178:E195" si="84">LEFT(H178,1)</f>
        <v>3</v>
      </c>
      <c r="F178" s="30" t="str">
        <f t="shared" ref="F178:F195" si="85">LEFT(H178,2)</f>
        <v>31</v>
      </c>
      <c r="G178" s="26" t="str">
        <f t="shared" si="72"/>
        <v>311</v>
      </c>
      <c r="H178" s="212" t="s">
        <v>57</v>
      </c>
      <c r="I178" s="86" t="s">
        <v>59</v>
      </c>
      <c r="J178" s="87">
        <v>0</v>
      </c>
      <c r="K178" s="87">
        <v>0</v>
      </c>
      <c r="L178" s="87">
        <v>0</v>
      </c>
      <c r="M178" s="87">
        <v>0</v>
      </c>
      <c r="N178" s="87">
        <v>0</v>
      </c>
      <c r="O178" s="31">
        <v>3575.79</v>
      </c>
      <c r="T178" s="25" t="str">
        <f t="shared" si="69"/>
        <v>A2124025213111</v>
      </c>
    </row>
    <row r="179" spans="1:20" ht="20.100000000000001" hidden="1" customHeight="1" outlineLevel="1" x14ac:dyDescent="0.2">
      <c r="A179" s="25" t="str">
        <f t="shared" si="81"/>
        <v>A2124025213211</v>
      </c>
      <c r="B179" s="30" t="s">
        <v>472</v>
      </c>
      <c r="C179" s="26" t="s">
        <v>328</v>
      </c>
      <c r="D179" s="30">
        <v>521</v>
      </c>
      <c r="E179" s="30" t="str">
        <f t="shared" si="84"/>
        <v>3</v>
      </c>
      <c r="F179" s="30" t="str">
        <f t="shared" si="85"/>
        <v>32</v>
      </c>
      <c r="G179" s="26" t="str">
        <f t="shared" ref="G179" si="86">LEFT(H179,3)</f>
        <v>321</v>
      </c>
      <c r="H179" s="212" t="s">
        <v>130</v>
      </c>
      <c r="I179" s="86" t="s">
        <v>132</v>
      </c>
      <c r="J179" s="87">
        <v>1705.79</v>
      </c>
      <c r="K179" s="87">
        <v>3000</v>
      </c>
      <c r="L179" s="87">
        <v>6195</v>
      </c>
      <c r="M179" s="87">
        <v>363.17483394790685</v>
      </c>
      <c r="N179" s="87">
        <v>206.5</v>
      </c>
      <c r="O179" s="31"/>
      <c r="T179" s="25" t="str">
        <f t="shared" si="69"/>
        <v>A2124025213211</v>
      </c>
    </row>
    <row r="180" spans="1:20" ht="20.100000000000001" hidden="1" customHeight="1" outlineLevel="1" x14ac:dyDescent="0.2">
      <c r="A180" s="25" t="str">
        <f t="shared" si="81"/>
        <v>A2124025213213</v>
      </c>
      <c r="B180" s="30" t="s">
        <v>472</v>
      </c>
      <c r="C180" s="26" t="s">
        <v>328</v>
      </c>
      <c r="D180" s="30">
        <v>521</v>
      </c>
      <c r="E180" s="30" t="str">
        <f t="shared" si="84"/>
        <v>3</v>
      </c>
      <c r="F180" s="30" t="str">
        <f t="shared" si="85"/>
        <v>32</v>
      </c>
      <c r="G180" s="26" t="str">
        <f t="shared" si="72"/>
        <v>321</v>
      </c>
      <c r="H180" s="86" t="s">
        <v>69</v>
      </c>
      <c r="I180" s="86" t="s">
        <v>71</v>
      </c>
      <c r="J180" s="87">
        <v>1395</v>
      </c>
      <c r="K180" s="87">
        <v>4000</v>
      </c>
      <c r="L180" s="87">
        <v>3068.76</v>
      </c>
      <c r="M180" s="87">
        <v>219.98279569892475</v>
      </c>
      <c r="N180" s="87">
        <v>76.719000000000008</v>
      </c>
      <c r="O180" s="31">
        <v>1395</v>
      </c>
      <c r="T180" s="25" t="str">
        <f t="shared" si="69"/>
        <v>A2124025213213</v>
      </c>
    </row>
    <row r="181" spans="1:20" ht="20.100000000000001" hidden="1" customHeight="1" outlineLevel="1" x14ac:dyDescent="0.2">
      <c r="A181" s="25" t="str">
        <f t="shared" si="81"/>
        <v>A2124025213221</v>
      </c>
      <c r="B181" s="30" t="s">
        <v>472</v>
      </c>
      <c r="C181" s="26" t="s">
        <v>328</v>
      </c>
      <c r="D181" s="30">
        <v>521</v>
      </c>
      <c r="E181" s="30" t="str">
        <f t="shared" si="84"/>
        <v>3</v>
      </c>
      <c r="F181" s="30" t="str">
        <f t="shared" si="85"/>
        <v>32</v>
      </c>
      <c r="G181" s="26" t="str">
        <f t="shared" si="72"/>
        <v>322</v>
      </c>
      <c r="H181" s="86" t="s">
        <v>72</v>
      </c>
      <c r="I181" s="86" t="s">
        <v>74</v>
      </c>
      <c r="J181" s="87">
        <v>0</v>
      </c>
      <c r="K181" s="87">
        <v>0</v>
      </c>
      <c r="L181" s="87">
        <v>0</v>
      </c>
      <c r="M181" s="87">
        <v>0</v>
      </c>
      <c r="N181" s="87">
        <v>0</v>
      </c>
      <c r="O181" s="31"/>
      <c r="T181" s="25" t="str">
        <f t="shared" si="69"/>
        <v>A2124025213221</v>
      </c>
    </row>
    <row r="182" spans="1:20" ht="20.100000000000001" hidden="1" customHeight="1" outlineLevel="1" x14ac:dyDescent="0.2">
      <c r="A182" s="25" t="str">
        <f t="shared" si="81"/>
        <v>A2124025213222</v>
      </c>
      <c r="B182" s="30" t="s">
        <v>472</v>
      </c>
      <c r="C182" s="26" t="s">
        <v>328</v>
      </c>
      <c r="D182" s="30">
        <v>521</v>
      </c>
      <c r="E182" s="30" t="str">
        <f t="shared" si="84"/>
        <v>3</v>
      </c>
      <c r="F182" s="30" t="str">
        <f t="shared" si="85"/>
        <v>32</v>
      </c>
      <c r="G182" s="26" t="str">
        <f t="shared" si="72"/>
        <v>322</v>
      </c>
      <c r="H182" s="86" t="s">
        <v>75</v>
      </c>
      <c r="I182" s="86" t="s">
        <v>77</v>
      </c>
      <c r="J182" s="87">
        <v>0</v>
      </c>
      <c r="K182" s="87">
        <v>11300</v>
      </c>
      <c r="L182" s="87">
        <v>1475.31</v>
      </c>
      <c r="M182" s="87">
        <v>0</v>
      </c>
      <c r="N182" s="87">
        <v>13.055840707964601</v>
      </c>
      <c r="O182" s="31">
        <v>636.55999999999995</v>
      </c>
      <c r="T182" s="25" t="str">
        <f t="shared" si="69"/>
        <v>A2124025213222</v>
      </c>
    </row>
    <row r="183" spans="1:20" ht="20.100000000000001" hidden="1" customHeight="1" outlineLevel="1" x14ac:dyDescent="0.2">
      <c r="A183" s="25" t="str">
        <f t="shared" si="81"/>
        <v>A2124025213223</v>
      </c>
      <c r="B183" s="30" t="s">
        <v>472</v>
      </c>
      <c r="C183" s="26" t="s">
        <v>328</v>
      </c>
      <c r="D183" s="30">
        <v>521</v>
      </c>
      <c r="E183" s="30" t="str">
        <f t="shared" si="84"/>
        <v>3</v>
      </c>
      <c r="F183" s="30" t="str">
        <f t="shared" si="85"/>
        <v>32</v>
      </c>
      <c r="G183" s="26" t="str">
        <f t="shared" si="72"/>
        <v>322</v>
      </c>
      <c r="H183" s="86" t="s">
        <v>78</v>
      </c>
      <c r="I183" s="86" t="s">
        <v>80</v>
      </c>
      <c r="J183" s="87">
        <v>0</v>
      </c>
      <c r="K183" s="87">
        <v>0</v>
      </c>
      <c r="L183" s="87">
        <v>0</v>
      </c>
      <c r="M183" s="87">
        <v>0</v>
      </c>
      <c r="N183" s="87">
        <v>0</v>
      </c>
      <c r="O183" s="31">
        <v>0</v>
      </c>
      <c r="T183" s="25" t="str">
        <f t="shared" si="69"/>
        <v>A2124025213223</v>
      </c>
    </row>
    <row r="184" spans="1:20" ht="20.100000000000001" hidden="1" customHeight="1" outlineLevel="1" x14ac:dyDescent="0.2">
      <c r="A184" s="25" t="str">
        <f t="shared" si="81"/>
        <v>A2124025213224</v>
      </c>
      <c r="B184" s="30" t="s">
        <v>472</v>
      </c>
      <c r="C184" s="26" t="s">
        <v>328</v>
      </c>
      <c r="D184" s="30">
        <v>521</v>
      </c>
      <c r="E184" s="30" t="str">
        <f t="shared" si="84"/>
        <v>3</v>
      </c>
      <c r="F184" s="30" t="str">
        <f t="shared" si="85"/>
        <v>32</v>
      </c>
      <c r="G184" s="26" t="str">
        <f t="shared" si="72"/>
        <v>322</v>
      </c>
      <c r="H184" s="86" t="s">
        <v>81</v>
      </c>
      <c r="I184" s="86" t="s">
        <v>83</v>
      </c>
      <c r="J184" s="87">
        <v>0</v>
      </c>
      <c r="K184" s="87">
        <v>0</v>
      </c>
      <c r="L184" s="87">
        <v>0</v>
      </c>
      <c r="M184" s="87">
        <v>0</v>
      </c>
      <c r="N184" s="87">
        <v>0</v>
      </c>
      <c r="O184" s="31"/>
      <c r="T184" s="25" t="str">
        <f t="shared" si="69"/>
        <v>A2124025213224</v>
      </c>
    </row>
    <row r="185" spans="1:20" ht="20.100000000000001" hidden="1" customHeight="1" outlineLevel="1" x14ac:dyDescent="0.2">
      <c r="A185" s="25" t="str">
        <f t="shared" si="81"/>
        <v>A2124025213225</v>
      </c>
      <c r="B185" s="30" t="s">
        <v>472</v>
      </c>
      <c r="C185" s="26" t="s">
        <v>328</v>
      </c>
      <c r="D185" s="30">
        <v>521</v>
      </c>
      <c r="E185" s="30" t="str">
        <f t="shared" si="84"/>
        <v>3</v>
      </c>
      <c r="F185" s="30" t="str">
        <f t="shared" si="85"/>
        <v>32</v>
      </c>
      <c r="G185" s="26" t="str">
        <f t="shared" si="72"/>
        <v>322</v>
      </c>
      <c r="H185" s="86" t="s">
        <v>84</v>
      </c>
      <c r="I185" s="86" t="s">
        <v>86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31"/>
      <c r="T185" s="25" t="str">
        <f t="shared" si="69"/>
        <v>A2124025213225</v>
      </c>
    </row>
    <row r="186" spans="1:20" ht="20.100000000000001" hidden="1" customHeight="1" outlineLevel="1" x14ac:dyDescent="0.2">
      <c r="A186" s="25" t="str">
        <f t="shared" si="81"/>
        <v>A2124025213231</v>
      </c>
      <c r="B186" s="30" t="s">
        <v>472</v>
      </c>
      <c r="C186" s="26" t="s">
        <v>328</v>
      </c>
      <c r="D186" s="30">
        <v>521</v>
      </c>
      <c r="E186" s="30" t="str">
        <f t="shared" si="84"/>
        <v>3</v>
      </c>
      <c r="F186" s="30" t="str">
        <f t="shared" si="85"/>
        <v>32</v>
      </c>
      <c r="G186" s="26" t="str">
        <f t="shared" si="72"/>
        <v>323</v>
      </c>
      <c r="H186" s="86" t="s">
        <v>87</v>
      </c>
      <c r="I186" s="86" t="s">
        <v>89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31"/>
      <c r="T186" s="25" t="str">
        <f t="shared" si="69"/>
        <v>A2124025213231</v>
      </c>
    </row>
    <row r="187" spans="1:20" ht="20.100000000000001" hidden="1" customHeight="1" outlineLevel="1" x14ac:dyDescent="0.2">
      <c r="A187" s="25" t="str">
        <f t="shared" si="81"/>
        <v>A2124025213233</v>
      </c>
      <c r="B187" s="30" t="s">
        <v>472</v>
      </c>
      <c r="C187" s="26" t="s">
        <v>328</v>
      </c>
      <c r="D187" s="30">
        <v>521</v>
      </c>
      <c r="E187" s="30" t="str">
        <f t="shared" si="84"/>
        <v>3</v>
      </c>
      <c r="F187" s="30" t="str">
        <f t="shared" si="85"/>
        <v>32</v>
      </c>
      <c r="G187" s="26" t="str">
        <f t="shared" si="72"/>
        <v>323</v>
      </c>
      <c r="H187" s="86" t="s">
        <v>91</v>
      </c>
      <c r="I187" s="86" t="s">
        <v>93</v>
      </c>
      <c r="J187" s="87">
        <v>64.8</v>
      </c>
      <c r="K187" s="87">
        <v>1800</v>
      </c>
      <c r="L187" s="87">
        <v>0</v>
      </c>
      <c r="M187" s="87">
        <v>0</v>
      </c>
      <c r="N187" s="87">
        <v>0</v>
      </c>
      <c r="O187" s="31">
        <v>364.8</v>
      </c>
      <c r="T187" s="25" t="str">
        <f t="shared" si="69"/>
        <v>A2124025213233</v>
      </c>
    </row>
    <row r="188" spans="1:20" ht="20.100000000000001" hidden="1" customHeight="1" outlineLevel="1" x14ac:dyDescent="0.2">
      <c r="A188" s="25" t="str">
        <f t="shared" si="81"/>
        <v>A2124025213235</v>
      </c>
      <c r="B188" s="30" t="s">
        <v>472</v>
      </c>
      <c r="C188" s="26" t="s">
        <v>328</v>
      </c>
      <c r="D188" s="30">
        <v>521</v>
      </c>
      <c r="E188" s="30" t="str">
        <f t="shared" si="84"/>
        <v>3</v>
      </c>
      <c r="F188" s="30" t="str">
        <f t="shared" si="85"/>
        <v>32</v>
      </c>
      <c r="G188" s="26" t="str">
        <f t="shared" si="72"/>
        <v>323</v>
      </c>
      <c r="H188" s="86" t="s">
        <v>97</v>
      </c>
      <c r="I188" s="86" t="s">
        <v>99</v>
      </c>
      <c r="J188" s="87">
        <v>0</v>
      </c>
      <c r="K188" s="87">
        <v>0</v>
      </c>
      <c r="L188" s="87">
        <v>0</v>
      </c>
      <c r="M188" s="87">
        <v>0</v>
      </c>
      <c r="N188" s="87">
        <v>0</v>
      </c>
      <c r="O188" s="31"/>
      <c r="T188" s="25" t="str">
        <f t="shared" si="69"/>
        <v>A2124025213235</v>
      </c>
    </row>
    <row r="189" spans="1:20" ht="20.100000000000001" hidden="1" customHeight="1" outlineLevel="1" x14ac:dyDescent="0.2">
      <c r="A189" s="25" t="str">
        <f t="shared" si="81"/>
        <v>A2124025213237</v>
      </c>
      <c r="B189" s="30" t="s">
        <v>472</v>
      </c>
      <c r="C189" s="26" t="s">
        <v>328</v>
      </c>
      <c r="D189" s="30">
        <v>521</v>
      </c>
      <c r="E189" s="30" t="str">
        <f t="shared" si="84"/>
        <v>3</v>
      </c>
      <c r="F189" s="30" t="str">
        <f t="shared" si="85"/>
        <v>32</v>
      </c>
      <c r="G189" s="26" t="str">
        <f t="shared" si="72"/>
        <v>323</v>
      </c>
      <c r="H189" s="86" t="s">
        <v>41</v>
      </c>
      <c r="I189" s="86" t="s">
        <v>43</v>
      </c>
      <c r="J189" s="87">
        <v>10235.73</v>
      </c>
      <c r="K189" s="87">
        <v>30000</v>
      </c>
      <c r="L189" s="87">
        <v>18999.98</v>
      </c>
      <c r="M189" s="87">
        <v>185.62408348012306</v>
      </c>
      <c r="N189" s="87">
        <v>63.333266666666667</v>
      </c>
      <c r="O189" s="31">
        <v>26500.66</v>
      </c>
      <c r="P189" s="25">
        <v>1015</v>
      </c>
      <c r="T189" s="25" t="str">
        <f t="shared" si="69"/>
        <v>A2124025213237</v>
      </c>
    </row>
    <row r="190" spans="1:20" ht="20.100000000000001" hidden="1" customHeight="1" outlineLevel="1" x14ac:dyDescent="0.2">
      <c r="A190" s="25" t="str">
        <f t="shared" si="81"/>
        <v>A2124025213238</v>
      </c>
      <c r="B190" s="30" t="s">
        <v>472</v>
      </c>
      <c r="C190" s="26" t="s">
        <v>328</v>
      </c>
      <c r="D190" s="30">
        <v>521</v>
      </c>
      <c r="E190" s="30" t="str">
        <f t="shared" si="84"/>
        <v>3</v>
      </c>
      <c r="F190" s="30" t="str">
        <f t="shared" si="85"/>
        <v>32</v>
      </c>
      <c r="G190" s="26" t="str">
        <f t="shared" si="72"/>
        <v>323</v>
      </c>
      <c r="H190" s="86" t="s">
        <v>104</v>
      </c>
      <c r="I190" s="86" t="s">
        <v>106</v>
      </c>
      <c r="J190" s="87">
        <v>82.5</v>
      </c>
      <c r="K190" s="87">
        <v>13500</v>
      </c>
      <c r="L190" s="87">
        <v>82.5</v>
      </c>
      <c r="M190" s="87">
        <v>100</v>
      </c>
      <c r="N190" s="87">
        <v>0.61111111111111116</v>
      </c>
      <c r="O190" s="31">
        <v>14082.5</v>
      </c>
      <c r="T190" s="25" t="str">
        <f t="shared" si="69"/>
        <v>A2124025213238</v>
      </c>
    </row>
    <row r="191" spans="1:20" ht="20.100000000000001" hidden="1" customHeight="1" outlineLevel="1" x14ac:dyDescent="0.2">
      <c r="A191" s="25" t="str">
        <f t="shared" si="81"/>
        <v>A2124025213239</v>
      </c>
      <c r="B191" s="30" t="s">
        <v>472</v>
      </c>
      <c r="C191" s="26" t="s">
        <v>328</v>
      </c>
      <c r="D191" s="30">
        <v>521</v>
      </c>
      <c r="E191" s="30" t="str">
        <f t="shared" si="84"/>
        <v>3</v>
      </c>
      <c r="F191" s="30" t="str">
        <f t="shared" si="85"/>
        <v>32</v>
      </c>
      <c r="G191" s="26" t="str">
        <f t="shared" si="72"/>
        <v>323</v>
      </c>
      <c r="H191" s="86" t="s">
        <v>126</v>
      </c>
      <c r="I191" s="86" t="s">
        <v>128</v>
      </c>
      <c r="J191" s="87">
        <v>3469.46</v>
      </c>
      <c r="K191" s="87">
        <v>11000</v>
      </c>
      <c r="L191" s="87">
        <v>3972.33</v>
      </c>
      <c r="M191" s="87">
        <v>114.49418641517698</v>
      </c>
      <c r="N191" s="87">
        <v>36.112090909090909</v>
      </c>
      <c r="O191" s="31">
        <v>14449.94</v>
      </c>
      <c r="P191" s="25">
        <v>4120.45</v>
      </c>
      <c r="T191" s="25" t="str">
        <f t="shared" si="69"/>
        <v>A2124025213239</v>
      </c>
    </row>
    <row r="192" spans="1:20" ht="20.100000000000001" hidden="1" customHeight="1" outlineLevel="1" x14ac:dyDescent="0.2">
      <c r="A192" s="25" t="str">
        <f t="shared" si="81"/>
        <v>A2124025213241</v>
      </c>
      <c r="B192" s="30" t="s">
        <v>472</v>
      </c>
      <c r="C192" s="26" t="s">
        <v>328</v>
      </c>
      <c r="D192" s="30">
        <v>521</v>
      </c>
      <c r="E192" s="30" t="str">
        <f t="shared" si="84"/>
        <v>3</v>
      </c>
      <c r="F192" s="30" t="str">
        <f t="shared" si="85"/>
        <v>32</v>
      </c>
      <c r="G192" s="26" t="str">
        <f t="shared" si="72"/>
        <v>324</v>
      </c>
      <c r="H192" s="86" t="s">
        <v>150</v>
      </c>
      <c r="I192" s="86" t="s">
        <v>152</v>
      </c>
      <c r="J192" s="87">
        <v>0</v>
      </c>
      <c r="K192" s="87">
        <v>0</v>
      </c>
      <c r="L192" s="87">
        <v>283.44</v>
      </c>
      <c r="M192" s="87">
        <v>0</v>
      </c>
      <c r="N192" s="87">
        <v>0</v>
      </c>
      <c r="O192" s="31">
        <v>407.3</v>
      </c>
      <c r="T192" s="25" t="str">
        <f t="shared" si="69"/>
        <v>A2124025213241</v>
      </c>
    </row>
    <row r="193" spans="1:20" ht="20.100000000000001" hidden="1" customHeight="1" outlineLevel="1" x14ac:dyDescent="0.2">
      <c r="A193" s="25" t="str">
        <f t="shared" si="81"/>
        <v>A2124025213293</v>
      </c>
      <c r="B193" s="30" t="s">
        <v>472</v>
      </c>
      <c r="C193" s="26" t="s">
        <v>328</v>
      </c>
      <c r="D193" s="30">
        <v>521</v>
      </c>
      <c r="E193" s="30" t="str">
        <f t="shared" si="84"/>
        <v>3</v>
      </c>
      <c r="F193" s="30" t="str">
        <f t="shared" si="85"/>
        <v>32</v>
      </c>
      <c r="G193" s="26" t="str">
        <f t="shared" si="72"/>
        <v>329</v>
      </c>
      <c r="H193" s="86" t="s">
        <v>154</v>
      </c>
      <c r="I193" s="86" t="s">
        <v>156</v>
      </c>
      <c r="J193" s="87">
        <v>174.72</v>
      </c>
      <c r="K193" s="87">
        <v>3300</v>
      </c>
      <c r="L193" s="87">
        <v>573.99</v>
      </c>
      <c r="M193" s="87">
        <v>328.51991758241763</v>
      </c>
      <c r="N193" s="87">
        <v>17.393636363636364</v>
      </c>
      <c r="O193" s="31">
        <v>1610.18</v>
      </c>
      <c r="P193" s="25">
        <v>25</v>
      </c>
      <c r="T193" s="25" t="str">
        <f t="shared" si="69"/>
        <v>A2124025213293</v>
      </c>
    </row>
    <row r="194" spans="1:20" ht="20.100000000000001" hidden="1" customHeight="1" outlineLevel="1" x14ac:dyDescent="0.2">
      <c r="A194" s="25" t="str">
        <f t="shared" si="81"/>
        <v>A2124025213294</v>
      </c>
      <c r="B194" s="30" t="s">
        <v>472</v>
      </c>
      <c r="C194" s="26" t="s">
        <v>328</v>
      </c>
      <c r="D194" s="30">
        <v>521</v>
      </c>
      <c r="E194" s="30" t="str">
        <f t="shared" si="84"/>
        <v>3</v>
      </c>
      <c r="F194" s="30" t="str">
        <f t="shared" si="85"/>
        <v>32</v>
      </c>
      <c r="G194" s="26" t="str">
        <f t="shared" si="72"/>
        <v>329</v>
      </c>
      <c r="H194" s="86" t="s">
        <v>113</v>
      </c>
      <c r="I194" s="86" t="s">
        <v>115</v>
      </c>
      <c r="J194" s="87">
        <v>2000</v>
      </c>
      <c r="K194" s="87">
        <v>2000</v>
      </c>
      <c r="L194" s="87">
        <v>2000</v>
      </c>
      <c r="M194" s="87">
        <v>100</v>
      </c>
      <c r="N194" s="87">
        <v>100</v>
      </c>
      <c r="O194" s="31">
        <v>2000</v>
      </c>
      <c r="T194" s="25" t="str">
        <f t="shared" si="69"/>
        <v>A2124025213294</v>
      </c>
    </row>
    <row r="195" spans="1:20" ht="20.100000000000001" hidden="1" customHeight="1" outlineLevel="1" x14ac:dyDescent="0.2">
      <c r="A195" s="25" t="str">
        <f t="shared" si="81"/>
        <v>A2124025213299</v>
      </c>
      <c r="B195" s="30" t="s">
        <v>472</v>
      </c>
      <c r="C195" s="26" t="s">
        <v>328</v>
      </c>
      <c r="D195" s="30">
        <v>521</v>
      </c>
      <c r="E195" s="30" t="str">
        <f t="shared" si="84"/>
        <v>3</v>
      </c>
      <c r="F195" s="30" t="str">
        <f t="shared" si="85"/>
        <v>32</v>
      </c>
      <c r="G195" s="26" t="str">
        <f t="shared" si="72"/>
        <v>329</v>
      </c>
      <c r="H195" s="86" t="s">
        <v>159</v>
      </c>
      <c r="I195" s="86" t="s">
        <v>161</v>
      </c>
      <c r="J195" s="87">
        <v>0</v>
      </c>
      <c r="K195" s="87">
        <v>0</v>
      </c>
      <c r="L195" s="87">
        <v>0</v>
      </c>
      <c r="M195" s="87">
        <v>0</v>
      </c>
      <c r="N195" s="87">
        <v>0</v>
      </c>
      <c r="O195" s="31"/>
      <c r="T195" s="25" t="str">
        <f t="shared" si="69"/>
        <v>A2124025213299</v>
      </c>
    </row>
    <row r="196" spans="1:20" ht="24.95" customHeight="1" collapsed="1" x14ac:dyDescent="0.2">
      <c r="B196" s="30"/>
      <c r="H196" s="230" t="s">
        <v>34</v>
      </c>
      <c r="I196" s="230"/>
      <c r="J196" s="79">
        <v>1084.8899999999999</v>
      </c>
      <c r="K196" s="79">
        <v>0</v>
      </c>
      <c r="L196" s="79">
        <v>709.69</v>
      </c>
      <c r="M196" s="79">
        <v>65.415848611379971</v>
      </c>
      <c r="N196" s="79">
        <v>0</v>
      </c>
      <c r="O196" s="25">
        <f>SUMIFS(O198:O385,$C198:$C385,"A212402",$D198:$D385,"541")</f>
        <v>1780.37</v>
      </c>
      <c r="P196" s="25">
        <f>SUMIFS(P198:P385,$C198:$C385,"A212402",$D198:$D385,"541")</f>
        <v>1023.75</v>
      </c>
    </row>
    <row r="197" spans="1:20" ht="20.100000000000001" hidden="1" customHeight="1" outlineLevel="1" x14ac:dyDescent="0.2">
      <c r="A197" s="25" t="str">
        <f t="shared" si="81"/>
        <v>A2124025413211</v>
      </c>
      <c r="B197" s="30" t="s">
        <v>472</v>
      </c>
      <c r="C197" s="26" t="s">
        <v>328</v>
      </c>
      <c r="D197" s="30">
        <v>541</v>
      </c>
      <c r="E197" s="30" t="str">
        <f t="shared" ref="E197" si="87">LEFT(H197,1)</f>
        <v>3</v>
      </c>
      <c r="F197" s="30" t="str">
        <f t="shared" ref="F197" si="88">LEFT(H197,2)</f>
        <v>32</v>
      </c>
      <c r="G197" s="26" t="str">
        <f t="shared" ref="G197" si="89">LEFT(H197,3)</f>
        <v>321</v>
      </c>
      <c r="H197" s="212" t="s">
        <v>130</v>
      </c>
      <c r="I197" s="86" t="s">
        <v>132</v>
      </c>
      <c r="J197" s="87">
        <v>0</v>
      </c>
      <c r="K197" s="87">
        <v>0</v>
      </c>
      <c r="L197" s="87">
        <v>0</v>
      </c>
      <c r="M197" s="87">
        <v>0</v>
      </c>
      <c r="N197" s="87">
        <v>0</v>
      </c>
      <c r="O197" s="31"/>
      <c r="T197" s="25" t="str">
        <f t="shared" si="69"/>
        <v>A2124025413211</v>
      </c>
    </row>
    <row r="198" spans="1:20" ht="20.100000000000001" hidden="1" customHeight="1" outlineLevel="1" x14ac:dyDescent="0.2">
      <c r="A198" s="25" t="str">
        <f t="shared" si="81"/>
        <v>A2124025413221</v>
      </c>
      <c r="B198" s="30" t="s">
        <v>472</v>
      </c>
      <c r="C198" s="26" t="s">
        <v>328</v>
      </c>
      <c r="D198" s="30">
        <v>541</v>
      </c>
      <c r="E198" s="30" t="str">
        <f t="shared" ref="E198:E205" si="90">LEFT(H198,1)</f>
        <v>3</v>
      </c>
      <c r="F198" s="30" t="str">
        <f t="shared" ref="F198:F205" si="91">LEFT(H198,2)</f>
        <v>32</v>
      </c>
      <c r="G198" s="26" t="str">
        <f t="shared" si="72"/>
        <v>322</v>
      </c>
      <c r="H198" s="86" t="s">
        <v>72</v>
      </c>
      <c r="I198" s="86" t="s">
        <v>74</v>
      </c>
      <c r="J198" s="87">
        <v>10.5</v>
      </c>
      <c r="K198" s="87">
        <v>0</v>
      </c>
      <c r="L198" s="87">
        <v>0</v>
      </c>
      <c r="M198" s="87">
        <v>0</v>
      </c>
      <c r="N198" s="87">
        <v>0</v>
      </c>
      <c r="O198" s="31">
        <v>10.5</v>
      </c>
      <c r="T198" s="25" t="str">
        <f t="shared" si="69"/>
        <v>A2124025413221</v>
      </c>
    </row>
    <row r="199" spans="1:20" ht="20.100000000000001" hidden="1" customHeight="1" outlineLevel="1" x14ac:dyDescent="0.2">
      <c r="A199" s="25" t="str">
        <f t="shared" si="81"/>
        <v>A2124025413222</v>
      </c>
      <c r="B199" s="30" t="s">
        <v>472</v>
      </c>
      <c r="C199" s="26" t="s">
        <v>328</v>
      </c>
      <c r="D199" s="30">
        <v>541</v>
      </c>
      <c r="E199" s="30" t="str">
        <f t="shared" si="90"/>
        <v>3</v>
      </c>
      <c r="F199" s="30" t="str">
        <f t="shared" si="91"/>
        <v>32</v>
      </c>
      <c r="G199" s="26" t="str">
        <f t="shared" si="72"/>
        <v>322</v>
      </c>
      <c r="H199" s="86" t="s">
        <v>75</v>
      </c>
      <c r="I199" s="86" t="s">
        <v>77</v>
      </c>
      <c r="J199" s="87">
        <v>0</v>
      </c>
      <c r="K199" s="87">
        <v>0</v>
      </c>
      <c r="L199" s="87">
        <v>9.69</v>
      </c>
      <c r="M199" s="87">
        <v>0</v>
      </c>
      <c r="N199" s="87">
        <v>0</v>
      </c>
      <c r="O199" s="31">
        <v>7.98</v>
      </c>
      <c r="T199" s="25" t="str">
        <f t="shared" si="69"/>
        <v>A2124025413222</v>
      </c>
    </row>
    <row r="200" spans="1:20" ht="20.100000000000001" hidden="1" customHeight="1" outlineLevel="1" x14ac:dyDescent="0.2">
      <c r="A200" s="25" t="str">
        <f t="shared" si="81"/>
        <v>A2124025413224</v>
      </c>
      <c r="B200" s="30" t="s">
        <v>472</v>
      </c>
      <c r="C200" s="26" t="s">
        <v>328</v>
      </c>
      <c r="D200" s="30">
        <v>541</v>
      </c>
      <c r="E200" s="30" t="str">
        <f t="shared" si="90"/>
        <v>3</v>
      </c>
      <c r="F200" s="30" t="str">
        <f t="shared" si="91"/>
        <v>32</v>
      </c>
      <c r="G200" s="26" t="str">
        <f t="shared" si="72"/>
        <v>322</v>
      </c>
      <c r="H200" s="86" t="s">
        <v>81</v>
      </c>
      <c r="I200" s="86" t="s">
        <v>83</v>
      </c>
      <c r="J200" s="87">
        <v>0</v>
      </c>
      <c r="K200" s="87">
        <v>0</v>
      </c>
      <c r="L200" s="87">
        <v>0</v>
      </c>
      <c r="M200" s="87">
        <v>0</v>
      </c>
      <c r="N200" s="87">
        <v>0</v>
      </c>
      <c r="O200" s="31"/>
      <c r="T200" s="25" t="str">
        <f t="shared" si="69"/>
        <v>A2124025413224</v>
      </c>
    </row>
    <row r="201" spans="1:20" ht="20.100000000000001" hidden="1" customHeight="1" outlineLevel="1" x14ac:dyDescent="0.2">
      <c r="A201" s="25" t="str">
        <f t="shared" si="81"/>
        <v>A2124025413233</v>
      </c>
      <c r="B201" s="30" t="s">
        <v>472</v>
      </c>
      <c r="C201" s="26" t="s">
        <v>328</v>
      </c>
      <c r="D201" s="30">
        <v>541</v>
      </c>
      <c r="E201" s="30" t="str">
        <f t="shared" si="90"/>
        <v>3</v>
      </c>
      <c r="F201" s="30" t="str">
        <f t="shared" si="91"/>
        <v>32</v>
      </c>
      <c r="G201" s="26" t="str">
        <f t="shared" si="72"/>
        <v>323</v>
      </c>
      <c r="H201" s="86" t="s">
        <v>91</v>
      </c>
      <c r="I201" s="86" t="s">
        <v>93</v>
      </c>
      <c r="J201" s="87">
        <v>0</v>
      </c>
      <c r="K201" s="87">
        <v>0</v>
      </c>
      <c r="L201" s="87">
        <v>0</v>
      </c>
      <c r="M201" s="87">
        <v>0</v>
      </c>
      <c r="N201" s="87">
        <v>0</v>
      </c>
      <c r="O201" s="31"/>
      <c r="P201" s="25">
        <v>1023.75</v>
      </c>
      <c r="T201" s="25" t="str">
        <f t="shared" si="69"/>
        <v>A2124025413233</v>
      </c>
    </row>
    <row r="202" spans="1:20" ht="20.100000000000001" hidden="1" customHeight="1" outlineLevel="1" x14ac:dyDescent="0.2">
      <c r="A202" s="25" t="str">
        <f t="shared" si="81"/>
        <v>A2124025413237</v>
      </c>
      <c r="B202" s="30" t="s">
        <v>472</v>
      </c>
      <c r="C202" s="26" t="s">
        <v>328</v>
      </c>
      <c r="D202" s="30">
        <v>541</v>
      </c>
      <c r="E202" s="30" t="str">
        <f t="shared" si="90"/>
        <v>3</v>
      </c>
      <c r="F202" s="30" t="str">
        <f t="shared" si="91"/>
        <v>32</v>
      </c>
      <c r="G202" s="26" t="str">
        <f t="shared" si="72"/>
        <v>323</v>
      </c>
      <c r="H202" s="86" t="s">
        <v>41</v>
      </c>
      <c r="I202" s="86" t="s">
        <v>43</v>
      </c>
      <c r="J202" s="87">
        <v>730.64</v>
      </c>
      <c r="K202" s="87">
        <v>0</v>
      </c>
      <c r="L202" s="87">
        <v>700</v>
      </c>
      <c r="M202" s="87">
        <v>95.806416292565416</v>
      </c>
      <c r="N202" s="87">
        <v>0</v>
      </c>
      <c r="O202" s="31">
        <v>730.64</v>
      </c>
      <c r="T202" s="25" t="str">
        <f t="shared" si="69"/>
        <v>A2124025413237</v>
      </c>
    </row>
    <row r="203" spans="1:20" ht="20.100000000000001" hidden="1" customHeight="1" outlineLevel="1" x14ac:dyDescent="0.2">
      <c r="A203" s="25" t="str">
        <f t="shared" si="81"/>
        <v>A2124025413239</v>
      </c>
      <c r="B203" s="30" t="s">
        <v>472</v>
      </c>
      <c r="C203" s="26" t="s">
        <v>328</v>
      </c>
      <c r="D203" s="30">
        <v>541</v>
      </c>
      <c r="E203" s="30" t="str">
        <f t="shared" ref="E203" si="92">LEFT(H203,1)</f>
        <v>3</v>
      </c>
      <c r="F203" s="30" t="str">
        <f t="shared" ref="F203" si="93">LEFT(H203,2)</f>
        <v>32</v>
      </c>
      <c r="G203" s="26" t="str">
        <f t="shared" ref="G203" si="94">LEFT(H203,3)</f>
        <v>323</v>
      </c>
      <c r="H203" s="86" t="s">
        <v>126</v>
      </c>
      <c r="I203" s="86" t="s">
        <v>128</v>
      </c>
      <c r="J203" s="87">
        <v>343.75</v>
      </c>
      <c r="K203" s="87">
        <v>0</v>
      </c>
      <c r="L203" s="87">
        <v>0</v>
      </c>
      <c r="M203" s="87">
        <v>0</v>
      </c>
      <c r="N203" s="87">
        <v>0</v>
      </c>
      <c r="O203" s="31">
        <v>343.75</v>
      </c>
      <c r="T203" s="25" t="str">
        <f t="shared" ref="T203:T266" si="95">CONCATENATE(C203,D203,H203)</f>
        <v>A2124025413239</v>
      </c>
    </row>
    <row r="204" spans="1:20" ht="20.100000000000001" hidden="1" customHeight="1" outlineLevel="1" x14ac:dyDescent="0.2">
      <c r="A204" s="25" t="str">
        <f t="shared" si="81"/>
        <v>A2124025413293</v>
      </c>
      <c r="B204" s="30" t="s">
        <v>472</v>
      </c>
      <c r="C204" s="26" t="s">
        <v>328</v>
      </c>
      <c r="D204" s="30">
        <v>541</v>
      </c>
      <c r="E204" s="30" t="str">
        <f t="shared" ref="E204" si="96">LEFT(H204,1)</f>
        <v>3</v>
      </c>
      <c r="F204" s="30" t="str">
        <f t="shared" ref="F204" si="97">LEFT(H204,2)</f>
        <v>32</v>
      </c>
      <c r="G204" s="26" t="str">
        <f t="shared" ref="G204" si="98">LEFT(H204,3)</f>
        <v>329</v>
      </c>
      <c r="H204" s="86" t="s">
        <v>154</v>
      </c>
      <c r="I204" s="86" t="s">
        <v>156</v>
      </c>
      <c r="J204" s="87">
        <v>0</v>
      </c>
      <c r="K204" s="87">
        <v>0</v>
      </c>
      <c r="L204" s="87">
        <v>0</v>
      </c>
      <c r="M204" s="87">
        <v>0</v>
      </c>
      <c r="N204" s="87">
        <v>0</v>
      </c>
      <c r="O204" s="31">
        <v>343.75</v>
      </c>
      <c r="T204" s="25" t="str">
        <f t="shared" si="95"/>
        <v>A2124025413293</v>
      </c>
    </row>
    <row r="205" spans="1:20" ht="20.100000000000001" hidden="1" customHeight="1" outlineLevel="1" x14ac:dyDescent="0.2">
      <c r="A205" s="25" t="str">
        <f t="shared" si="81"/>
        <v>A2124025414221</v>
      </c>
      <c r="B205" s="30" t="s">
        <v>472</v>
      </c>
      <c r="C205" s="26" t="s">
        <v>328</v>
      </c>
      <c r="D205" s="30">
        <v>541</v>
      </c>
      <c r="E205" s="30" t="str">
        <f t="shared" si="90"/>
        <v>4</v>
      </c>
      <c r="F205" s="30" t="str">
        <f t="shared" si="91"/>
        <v>42</v>
      </c>
      <c r="G205" s="26" t="str">
        <f t="shared" si="72"/>
        <v>422</v>
      </c>
      <c r="H205" s="212" t="s">
        <v>27</v>
      </c>
      <c r="I205" s="86" t="s">
        <v>29</v>
      </c>
      <c r="J205" s="87">
        <v>0</v>
      </c>
      <c r="K205" s="87">
        <v>0</v>
      </c>
      <c r="L205" s="87">
        <v>0</v>
      </c>
      <c r="M205" s="87">
        <v>0</v>
      </c>
      <c r="N205" s="87">
        <v>0</v>
      </c>
      <c r="O205" s="31">
        <v>343.75</v>
      </c>
      <c r="T205" s="25" t="str">
        <f t="shared" si="95"/>
        <v>A2124025414221</v>
      </c>
    </row>
    <row r="206" spans="1:20" ht="24.95" customHeight="1" collapsed="1" x14ac:dyDescent="0.2">
      <c r="B206" s="30"/>
      <c r="H206" s="230" t="s">
        <v>592</v>
      </c>
      <c r="I206" s="230"/>
      <c r="J206" s="79">
        <v>20388.099999999999</v>
      </c>
      <c r="K206" s="79">
        <v>0</v>
      </c>
      <c r="L206" s="79">
        <v>5198.3499999999995</v>
      </c>
      <c r="M206" s="79">
        <v>25.496981082101815</v>
      </c>
      <c r="N206" s="79">
        <v>0</v>
      </c>
      <c r="O206" s="25">
        <f>SUMIFS(O208:O396,$C208:$C396,"A212402",$D208:$D396,"541")</f>
        <v>0</v>
      </c>
      <c r="P206" s="25">
        <f>SUMIFS(P208:P396,$C208:$C396,"A212402",$D208:$D396,"541")</f>
        <v>0</v>
      </c>
    </row>
    <row r="207" spans="1:20" ht="20.100000000000001" hidden="1" customHeight="1" outlineLevel="1" x14ac:dyDescent="0.2">
      <c r="A207" s="25" t="str">
        <f t="shared" si="81"/>
        <v>A2124025613111</v>
      </c>
      <c r="B207" s="30" t="s">
        <v>472</v>
      </c>
      <c r="C207" s="26" t="s">
        <v>328</v>
      </c>
      <c r="D207" s="30">
        <v>561</v>
      </c>
      <c r="E207" s="30" t="str">
        <f t="shared" ref="E207:E209" si="99">LEFT(H207,1)</f>
        <v>3</v>
      </c>
      <c r="F207" s="30" t="str">
        <f t="shared" ref="F207:F209" si="100">LEFT(H207,2)</f>
        <v>31</v>
      </c>
      <c r="G207" s="26" t="str">
        <f t="shared" ref="G207:G209" si="101">LEFT(H207,3)</f>
        <v>311</v>
      </c>
      <c r="H207" s="212" t="s">
        <v>57</v>
      </c>
      <c r="I207" s="86" t="s">
        <v>59</v>
      </c>
      <c r="J207" s="87">
        <v>0</v>
      </c>
      <c r="K207" s="87">
        <v>0</v>
      </c>
      <c r="L207" s="87">
        <v>0</v>
      </c>
      <c r="M207" s="87">
        <v>0</v>
      </c>
      <c r="N207" s="87">
        <v>0</v>
      </c>
      <c r="O207" s="31"/>
      <c r="T207" s="25" t="str">
        <f t="shared" si="95"/>
        <v>A2124025613111</v>
      </c>
    </row>
    <row r="208" spans="1:20" ht="20.100000000000001" hidden="1" customHeight="1" outlineLevel="1" x14ac:dyDescent="0.2">
      <c r="A208" s="25" t="str">
        <f t="shared" si="81"/>
        <v>A2124025613211</v>
      </c>
      <c r="B208" s="30" t="s">
        <v>472</v>
      </c>
      <c r="C208" s="26" t="s">
        <v>328</v>
      </c>
      <c r="D208" s="30">
        <v>561</v>
      </c>
      <c r="E208" s="30" t="str">
        <f t="shared" si="99"/>
        <v>3</v>
      </c>
      <c r="F208" s="30" t="str">
        <f t="shared" si="100"/>
        <v>32</v>
      </c>
      <c r="G208" s="26" t="str">
        <f t="shared" si="101"/>
        <v>321</v>
      </c>
      <c r="H208" s="212" t="s">
        <v>130</v>
      </c>
      <c r="I208" s="86" t="s">
        <v>132</v>
      </c>
      <c r="J208" s="87">
        <v>18042.53</v>
      </c>
      <c r="K208" s="87">
        <v>0</v>
      </c>
      <c r="L208" s="87">
        <v>4273.8999999999996</v>
      </c>
      <c r="M208" s="87">
        <v>23.687919598858915</v>
      </c>
      <c r="N208" s="87">
        <v>0</v>
      </c>
      <c r="O208" s="31">
        <v>10.5</v>
      </c>
      <c r="T208" s="25" t="str">
        <f t="shared" si="95"/>
        <v>A2124025613211</v>
      </c>
    </row>
    <row r="209" spans="1:20" ht="20.100000000000001" hidden="1" customHeight="1" outlineLevel="1" x14ac:dyDescent="0.2">
      <c r="A209" s="25" t="str">
        <f t="shared" ref="A209" si="102">CONCATENATE(C209,D209,H209)</f>
        <v>A2124025613213</v>
      </c>
      <c r="B209" s="30" t="s">
        <v>472</v>
      </c>
      <c r="C209" s="26" t="s">
        <v>328</v>
      </c>
      <c r="D209" s="30">
        <v>561</v>
      </c>
      <c r="E209" s="30" t="str">
        <f t="shared" si="99"/>
        <v>3</v>
      </c>
      <c r="F209" s="30" t="str">
        <f t="shared" si="100"/>
        <v>32</v>
      </c>
      <c r="G209" s="26" t="str">
        <f t="shared" si="101"/>
        <v>321</v>
      </c>
      <c r="H209" s="212" t="s">
        <v>69</v>
      </c>
      <c r="I209" s="86" t="s">
        <v>93</v>
      </c>
      <c r="J209" s="87">
        <v>2150</v>
      </c>
      <c r="K209" s="87">
        <v>0</v>
      </c>
      <c r="L209" s="87">
        <v>0</v>
      </c>
      <c r="M209" s="87">
        <v>0</v>
      </c>
      <c r="N209" s="87">
        <v>0</v>
      </c>
      <c r="O209" s="31"/>
      <c r="P209" s="25">
        <v>1023.75</v>
      </c>
      <c r="T209" s="25" t="str">
        <f t="shared" ref="T209" si="103">CONCATENATE(C209,D209,H209)</f>
        <v>A2124025613213</v>
      </c>
    </row>
    <row r="210" spans="1:20" ht="20.100000000000001" hidden="1" customHeight="1" outlineLevel="1" x14ac:dyDescent="0.2">
      <c r="A210" s="25" t="str">
        <f t="shared" si="81"/>
        <v>A2124025613233</v>
      </c>
      <c r="B210" s="30" t="s">
        <v>472</v>
      </c>
      <c r="C210" s="26" t="s">
        <v>328</v>
      </c>
      <c r="D210" s="30">
        <v>561</v>
      </c>
      <c r="E210" s="30" t="str">
        <f t="shared" ref="E210:E215" si="104">LEFT(H210,1)</f>
        <v>3</v>
      </c>
      <c r="F210" s="30" t="str">
        <f t="shared" ref="F210:F215" si="105">LEFT(H210,2)</f>
        <v>32</v>
      </c>
      <c r="G210" s="26" t="str">
        <f t="shared" ref="G210:G215" si="106">LEFT(H210,3)</f>
        <v>323</v>
      </c>
      <c r="H210" s="86" t="s">
        <v>91</v>
      </c>
      <c r="I210" s="86" t="s">
        <v>93</v>
      </c>
      <c r="J210" s="87">
        <v>0</v>
      </c>
      <c r="K210" s="87">
        <v>0</v>
      </c>
      <c r="L210" s="87">
        <v>0</v>
      </c>
      <c r="M210" s="87">
        <v>0</v>
      </c>
      <c r="N210" s="87">
        <v>0</v>
      </c>
      <c r="O210" s="31"/>
      <c r="P210" s="25">
        <v>1023.75</v>
      </c>
      <c r="T210" s="25" t="str">
        <f t="shared" si="95"/>
        <v>A2124025613233</v>
      </c>
    </row>
    <row r="211" spans="1:20" ht="20.100000000000001" hidden="1" customHeight="1" outlineLevel="1" x14ac:dyDescent="0.2">
      <c r="A211" s="25" t="str">
        <f t="shared" si="81"/>
        <v>A2124025613237</v>
      </c>
      <c r="B211" s="30" t="s">
        <v>472</v>
      </c>
      <c r="C211" s="26" t="s">
        <v>328</v>
      </c>
      <c r="D211" s="30">
        <v>561</v>
      </c>
      <c r="E211" s="30" t="str">
        <f t="shared" si="104"/>
        <v>3</v>
      </c>
      <c r="F211" s="30" t="str">
        <f t="shared" si="105"/>
        <v>32</v>
      </c>
      <c r="G211" s="26" t="str">
        <f t="shared" si="106"/>
        <v>323</v>
      </c>
      <c r="H211" s="86" t="s">
        <v>41</v>
      </c>
      <c r="I211" s="86" t="s">
        <v>43</v>
      </c>
      <c r="J211" s="87">
        <v>0</v>
      </c>
      <c r="K211" s="87">
        <v>0</v>
      </c>
      <c r="L211" s="87">
        <v>0</v>
      </c>
      <c r="M211" s="87">
        <v>0</v>
      </c>
      <c r="N211" s="87">
        <v>0</v>
      </c>
      <c r="O211" s="31">
        <v>730.64</v>
      </c>
      <c r="T211" s="25" t="str">
        <f t="shared" si="95"/>
        <v>A2124025613237</v>
      </c>
    </row>
    <row r="212" spans="1:20" ht="20.100000000000001" hidden="1" customHeight="1" outlineLevel="1" x14ac:dyDescent="0.2">
      <c r="A212" s="25" t="str">
        <f t="shared" si="81"/>
        <v>A2124025613239</v>
      </c>
      <c r="B212" s="30" t="s">
        <v>472</v>
      </c>
      <c r="C212" s="26" t="s">
        <v>328</v>
      </c>
      <c r="D212" s="30">
        <v>561</v>
      </c>
      <c r="E212" s="30" t="str">
        <f t="shared" si="104"/>
        <v>3</v>
      </c>
      <c r="F212" s="30" t="str">
        <f t="shared" si="105"/>
        <v>32</v>
      </c>
      <c r="G212" s="26" t="str">
        <f t="shared" si="106"/>
        <v>323</v>
      </c>
      <c r="H212" s="86" t="s">
        <v>126</v>
      </c>
      <c r="I212" s="86" t="s">
        <v>128</v>
      </c>
      <c r="J212" s="87">
        <v>0</v>
      </c>
      <c r="K212" s="87">
        <v>0</v>
      </c>
      <c r="L212" s="87">
        <v>0</v>
      </c>
      <c r="M212" s="87">
        <v>0</v>
      </c>
      <c r="N212" s="87">
        <v>0</v>
      </c>
      <c r="O212" s="31">
        <v>343.75</v>
      </c>
      <c r="T212" s="25" t="str">
        <f t="shared" si="95"/>
        <v>A2124025613239</v>
      </c>
    </row>
    <row r="213" spans="1:20" ht="20.100000000000001" hidden="1" customHeight="1" outlineLevel="1" x14ac:dyDescent="0.2">
      <c r="A213" s="25" t="str">
        <f t="shared" si="81"/>
        <v>A2124025613241</v>
      </c>
      <c r="B213" s="30" t="s">
        <v>472</v>
      </c>
      <c r="C213" s="26" t="s">
        <v>328</v>
      </c>
      <c r="D213" s="30">
        <v>561</v>
      </c>
      <c r="E213" s="30" t="str">
        <f t="shared" ref="E213" si="107">LEFT(H213,1)</f>
        <v>3</v>
      </c>
      <c r="F213" s="30" t="str">
        <f t="shared" ref="F213" si="108">LEFT(H213,2)</f>
        <v>32</v>
      </c>
      <c r="G213" s="26" t="str">
        <f t="shared" ref="G213" si="109">LEFT(H213,3)</f>
        <v>324</v>
      </c>
      <c r="H213" s="212" t="s">
        <v>150</v>
      </c>
      <c r="I213" s="86" t="s">
        <v>152</v>
      </c>
      <c r="J213" s="87">
        <v>0</v>
      </c>
      <c r="K213" s="87">
        <v>0</v>
      </c>
      <c r="L213" s="87">
        <v>747.75</v>
      </c>
      <c r="M213" s="87">
        <v>0</v>
      </c>
      <c r="N213" s="87">
        <v>0</v>
      </c>
      <c r="O213" s="31">
        <v>343.75</v>
      </c>
      <c r="T213" s="25" t="str">
        <f t="shared" si="95"/>
        <v>A2124025613241</v>
      </c>
    </row>
    <row r="214" spans="1:20" ht="20.100000000000001" hidden="1" customHeight="1" outlineLevel="1" x14ac:dyDescent="0.2">
      <c r="A214" s="25" t="str">
        <f t="shared" si="81"/>
        <v>A2124025613293</v>
      </c>
      <c r="B214" s="30" t="s">
        <v>472</v>
      </c>
      <c r="C214" s="26" t="s">
        <v>328</v>
      </c>
      <c r="D214" s="30">
        <v>561</v>
      </c>
      <c r="E214" s="30" t="str">
        <f t="shared" si="104"/>
        <v>3</v>
      </c>
      <c r="F214" s="30" t="str">
        <f t="shared" si="105"/>
        <v>32</v>
      </c>
      <c r="G214" s="26" t="str">
        <f t="shared" si="106"/>
        <v>329</v>
      </c>
      <c r="H214" s="86" t="s">
        <v>154</v>
      </c>
      <c r="I214" s="86" t="s">
        <v>156</v>
      </c>
      <c r="J214" s="87">
        <v>195.57</v>
      </c>
      <c r="K214" s="87">
        <v>0</v>
      </c>
      <c r="L214" s="87">
        <v>176.7</v>
      </c>
      <c r="M214" s="87">
        <v>90.351280871299281</v>
      </c>
      <c r="N214" s="87">
        <v>0</v>
      </c>
      <c r="O214" s="31">
        <v>343.75</v>
      </c>
      <c r="T214" s="25" t="str">
        <f t="shared" si="95"/>
        <v>A2124025613293</v>
      </c>
    </row>
    <row r="215" spans="1:20" ht="20.100000000000001" hidden="1" customHeight="1" outlineLevel="1" x14ac:dyDescent="0.2">
      <c r="A215" s="25" t="str">
        <f t="shared" si="81"/>
        <v>A2124025614221</v>
      </c>
      <c r="B215" s="30" t="s">
        <v>472</v>
      </c>
      <c r="C215" s="26" t="s">
        <v>328</v>
      </c>
      <c r="D215" s="30">
        <v>561</v>
      </c>
      <c r="E215" s="30" t="str">
        <f t="shared" si="104"/>
        <v>4</v>
      </c>
      <c r="F215" s="30" t="str">
        <f t="shared" si="105"/>
        <v>42</v>
      </c>
      <c r="G215" s="26" t="str">
        <f t="shared" si="106"/>
        <v>422</v>
      </c>
      <c r="H215" s="212" t="s">
        <v>27</v>
      </c>
      <c r="I215" s="86" t="s">
        <v>29</v>
      </c>
      <c r="J215" s="87">
        <v>0</v>
      </c>
      <c r="K215" s="87">
        <v>0</v>
      </c>
      <c r="L215" s="87">
        <v>0</v>
      </c>
      <c r="M215" s="87">
        <v>0</v>
      </c>
      <c r="N215" s="87">
        <v>0</v>
      </c>
      <c r="O215" s="31">
        <v>343.75</v>
      </c>
      <c r="T215" s="25" t="str">
        <f t="shared" si="95"/>
        <v>A2124025614221</v>
      </c>
    </row>
    <row r="216" spans="1:20" ht="24.95" customHeight="1" collapsed="1" thickBot="1" x14ac:dyDescent="0.25">
      <c r="B216" s="30"/>
      <c r="H216" s="230" t="s">
        <v>587</v>
      </c>
      <c r="I216" s="230"/>
      <c r="J216" s="79">
        <v>0</v>
      </c>
      <c r="K216" s="79">
        <v>0</v>
      </c>
      <c r="L216" s="79">
        <v>2356.86</v>
      </c>
      <c r="M216" s="79">
        <v>0</v>
      </c>
      <c r="N216" s="79">
        <v>0</v>
      </c>
      <c r="O216" s="25">
        <f>SUMIFS(O219:O405,$C219:$C405,"A212402",$D219:$D405,"541")</f>
        <v>0</v>
      </c>
      <c r="P216" s="25">
        <f>SUMIFS(P219:P405,$C219:$C405,"A212402",$D219:$D405,"541")</f>
        <v>0</v>
      </c>
    </row>
    <row r="217" spans="1:20" ht="20.100000000000001" hidden="1" customHeight="1" outlineLevel="1" x14ac:dyDescent="0.2">
      <c r="A217" s="25" t="str">
        <f t="shared" si="81"/>
        <v>A2124025623211</v>
      </c>
      <c r="B217" s="30" t="s">
        <v>472</v>
      </c>
      <c r="C217" s="26" t="s">
        <v>328</v>
      </c>
      <c r="D217" s="30">
        <v>562</v>
      </c>
      <c r="E217" s="30" t="str">
        <f t="shared" ref="E217:E223" si="110">LEFT(H217,1)</f>
        <v>3</v>
      </c>
      <c r="F217" s="30" t="str">
        <f t="shared" ref="F217:F223" si="111">LEFT(H217,2)</f>
        <v>32</v>
      </c>
      <c r="G217" s="26" t="str">
        <f t="shared" ref="G217:G223" si="112">LEFT(H217,3)</f>
        <v>321</v>
      </c>
      <c r="H217" s="212" t="s">
        <v>130</v>
      </c>
      <c r="I217" s="86" t="s">
        <v>132</v>
      </c>
      <c r="J217" s="87">
        <v>0</v>
      </c>
      <c r="K217" s="87">
        <v>0</v>
      </c>
      <c r="L217" s="87">
        <v>412.22</v>
      </c>
      <c r="M217" s="87">
        <v>0</v>
      </c>
      <c r="N217" s="87">
        <v>0</v>
      </c>
      <c r="O217" s="31">
        <v>7.98</v>
      </c>
      <c r="T217" s="25" t="str">
        <f t="shared" si="95"/>
        <v>A2124025623211</v>
      </c>
    </row>
    <row r="218" spans="1:20" ht="20.100000000000001" hidden="1" customHeight="1" outlineLevel="1" x14ac:dyDescent="0.2">
      <c r="A218" s="25" t="str">
        <f t="shared" si="81"/>
        <v>A2124025623222</v>
      </c>
      <c r="B218" s="30" t="s">
        <v>472</v>
      </c>
      <c r="C218" s="26" t="s">
        <v>328</v>
      </c>
      <c r="D218" s="30">
        <v>562</v>
      </c>
      <c r="E218" s="30" t="str">
        <f t="shared" ref="E218" si="113">LEFT(H218,1)</f>
        <v>3</v>
      </c>
      <c r="F218" s="30" t="str">
        <f t="shared" ref="F218" si="114">LEFT(H218,2)</f>
        <v>32</v>
      </c>
      <c r="G218" s="26" t="str">
        <f t="shared" ref="G218" si="115">LEFT(H218,3)</f>
        <v>322</v>
      </c>
      <c r="H218" s="86" t="s">
        <v>75</v>
      </c>
      <c r="I218" s="86" t="s">
        <v>77</v>
      </c>
      <c r="J218" s="87">
        <v>0</v>
      </c>
      <c r="K218" s="87">
        <v>0</v>
      </c>
      <c r="L218" s="87">
        <v>623.95000000000005</v>
      </c>
      <c r="M218" s="87">
        <v>0</v>
      </c>
      <c r="N218" s="87">
        <v>0</v>
      </c>
      <c r="O218" s="31">
        <v>7.98</v>
      </c>
      <c r="T218" s="25" t="str">
        <f t="shared" ref="T218" si="116">CONCATENATE(C218,D218,H218)</f>
        <v>A2124025623222</v>
      </c>
    </row>
    <row r="219" spans="1:20" ht="20.100000000000001" hidden="1" customHeight="1" outlineLevel="1" x14ac:dyDescent="0.2">
      <c r="A219" s="25" t="str">
        <f t="shared" si="81"/>
        <v>A2124025623233</v>
      </c>
      <c r="B219" s="30" t="s">
        <v>472</v>
      </c>
      <c r="C219" s="26" t="s">
        <v>328</v>
      </c>
      <c r="D219" s="30">
        <v>562</v>
      </c>
      <c r="E219" s="30" t="str">
        <f t="shared" si="110"/>
        <v>3</v>
      </c>
      <c r="F219" s="30" t="str">
        <f t="shared" si="111"/>
        <v>32</v>
      </c>
      <c r="G219" s="26" t="str">
        <f t="shared" si="112"/>
        <v>323</v>
      </c>
      <c r="H219" s="86" t="s">
        <v>91</v>
      </c>
      <c r="I219" s="86" t="s">
        <v>93</v>
      </c>
      <c r="J219" s="87">
        <v>0</v>
      </c>
      <c r="K219" s="87">
        <v>0</v>
      </c>
      <c r="L219" s="87">
        <v>52</v>
      </c>
      <c r="M219" s="87">
        <v>0</v>
      </c>
      <c r="N219" s="87">
        <v>0</v>
      </c>
      <c r="O219" s="31"/>
      <c r="P219" s="25">
        <v>1023.75</v>
      </c>
      <c r="T219" s="25" t="str">
        <f t="shared" si="95"/>
        <v>A2124025623233</v>
      </c>
    </row>
    <row r="220" spans="1:20" ht="20.100000000000001" hidden="1" customHeight="1" outlineLevel="1" x14ac:dyDescent="0.2">
      <c r="A220" s="25" t="str">
        <f t="shared" si="81"/>
        <v>A2124025623237</v>
      </c>
      <c r="B220" s="30" t="s">
        <v>472</v>
      </c>
      <c r="C220" s="26" t="s">
        <v>328</v>
      </c>
      <c r="D220" s="30">
        <v>562</v>
      </c>
      <c r="E220" s="30" t="str">
        <f t="shared" si="110"/>
        <v>3</v>
      </c>
      <c r="F220" s="30" t="str">
        <f t="shared" si="111"/>
        <v>32</v>
      </c>
      <c r="G220" s="26" t="str">
        <f t="shared" si="112"/>
        <v>323</v>
      </c>
      <c r="H220" s="86" t="s">
        <v>41</v>
      </c>
      <c r="I220" s="86" t="s">
        <v>43</v>
      </c>
      <c r="J220" s="87">
        <v>0</v>
      </c>
      <c r="K220" s="87">
        <v>0</v>
      </c>
      <c r="L220" s="87">
        <v>150</v>
      </c>
      <c r="M220" s="87">
        <v>0</v>
      </c>
      <c r="N220" s="87">
        <v>0</v>
      </c>
      <c r="O220" s="31">
        <v>730.64</v>
      </c>
      <c r="T220" s="25" t="str">
        <f t="shared" si="95"/>
        <v>A2124025623237</v>
      </c>
    </row>
    <row r="221" spans="1:20" ht="20.100000000000001" hidden="1" customHeight="1" outlineLevel="1" x14ac:dyDescent="0.2">
      <c r="A221" s="25" t="str">
        <f t="shared" si="81"/>
        <v>A2124025623239</v>
      </c>
      <c r="B221" s="30" t="s">
        <v>472</v>
      </c>
      <c r="C221" s="26" t="s">
        <v>328</v>
      </c>
      <c r="D221" s="30">
        <v>562</v>
      </c>
      <c r="E221" s="30" t="str">
        <f t="shared" si="110"/>
        <v>3</v>
      </c>
      <c r="F221" s="30" t="str">
        <f t="shared" si="111"/>
        <v>32</v>
      </c>
      <c r="G221" s="26" t="str">
        <f t="shared" si="112"/>
        <v>323</v>
      </c>
      <c r="H221" s="86" t="s">
        <v>126</v>
      </c>
      <c r="I221" s="86" t="s">
        <v>128</v>
      </c>
      <c r="J221" s="87">
        <v>0</v>
      </c>
      <c r="K221" s="87">
        <v>0</v>
      </c>
      <c r="L221" s="87">
        <v>498</v>
      </c>
      <c r="M221" s="87">
        <v>0</v>
      </c>
      <c r="N221" s="87">
        <v>0</v>
      </c>
      <c r="O221" s="31">
        <v>343.75</v>
      </c>
      <c r="T221" s="25" t="str">
        <f t="shared" si="95"/>
        <v>A2124025623239</v>
      </c>
    </row>
    <row r="222" spans="1:20" ht="20.100000000000001" hidden="1" customHeight="1" outlineLevel="1" x14ac:dyDescent="0.2">
      <c r="A222" s="25" t="str">
        <f t="shared" si="81"/>
        <v>A2124025623293</v>
      </c>
      <c r="B222" s="30" t="s">
        <v>472</v>
      </c>
      <c r="C222" s="26" t="s">
        <v>328</v>
      </c>
      <c r="D222" s="30">
        <v>562</v>
      </c>
      <c r="E222" s="30" t="str">
        <f t="shared" ref="E222" si="117">LEFT(H222,1)</f>
        <v>3</v>
      </c>
      <c r="F222" s="30" t="str">
        <f t="shared" ref="F222" si="118">LEFT(H222,2)</f>
        <v>32</v>
      </c>
      <c r="G222" s="26" t="str">
        <f t="shared" ref="G222" si="119">LEFT(H222,3)</f>
        <v>329</v>
      </c>
      <c r="H222" s="86" t="s">
        <v>154</v>
      </c>
      <c r="I222" s="86" t="s">
        <v>156</v>
      </c>
      <c r="J222" s="87">
        <v>0</v>
      </c>
      <c r="K222" s="87">
        <v>0</v>
      </c>
      <c r="L222" s="87">
        <v>178.84</v>
      </c>
      <c r="M222" s="87">
        <v>0</v>
      </c>
      <c r="N222" s="87">
        <v>0</v>
      </c>
      <c r="O222" s="31">
        <v>343.75</v>
      </c>
      <c r="T222" s="25" t="str">
        <f t="shared" ref="T222" si="120">CONCATENATE(C222,D222,H222)</f>
        <v>A2124025623293</v>
      </c>
    </row>
    <row r="223" spans="1:20" ht="20.100000000000001" hidden="1" customHeight="1" outlineLevel="1" thickBot="1" x14ac:dyDescent="0.25">
      <c r="A223" s="25" t="str">
        <f t="shared" si="81"/>
        <v>A2124025624221</v>
      </c>
      <c r="B223" s="30" t="s">
        <v>472</v>
      </c>
      <c r="C223" s="26" t="s">
        <v>328</v>
      </c>
      <c r="D223" s="30">
        <v>562</v>
      </c>
      <c r="E223" s="30" t="str">
        <f t="shared" si="110"/>
        <v>4</v>
      </c>
      <c r="F223" s="30" t="str">
        <f t="shared" si="111"/>
        <v>42</v>
      </c>
      <c r="G223" s="26" t="str">
        <f t="shared" si="112"/>
        <v>422</v>
      </c>
      <c r="H223" s="86" t="s">
        <v>27</v>
      </c>
      <c r="I223" s="86" t="s">
        <v>29</v>
      </c>
      <c r="J223" s="87">
        <v>0</v>
      </c>
      <c r="K223" s="87">
        <v>0</v>
      </c>
      <c r="L223" s="87">
        <v>441.85</v>
      </c>
      <c r="M223" s="87">
        <v>0</v>
      </c>
      <c r="N223" s="87">
        <v>0</v>
      </c>
      <c r="O223" s="31">
        <v>343.75</v>
      </c>
      <c r="T223" s="25" t="str">
        <f t="shared" si="95"/>
        <v>A2124025624221</v>
      </c>
    </row>
    <row r="224" spans="1:20" ht="35.1" customHeight="1" collapsed="1" thickBot="1" x14ac:dyDescent="0.25">
      <c r="B224" s="30"/>
      <c r="H224" s="225" t="s">
        <v>256</v>
      </c>
      <c r="I224" s="225"/>
      <c r="J224" s="82">
        <v>0</v>
      </c>
      <c r="K224" s="82">
        <v>0</v>
      </c>
      <c r="L224" s="82">
        <v>0</v>
      </c>
      <c r="M224" s="82">
        <v>0</v>
      </c>
      <c r="N224" s="82">
        <v>0</v>
      </c>
    </row>
    <row r="225" spans="1:20" ht="24.95" customHeight="1" thickBot="1" x14ac:dyDescent="0.25">
      <c r="B225" s="30"/>
      <c r="H225" s="230" t="s">
        <v>56</v>
      </c>
      <c r="I225" s="230"/>
      <c r="J225" s="79">
        <v>0</v>
      </c>
      <c r="K225" s="79">
        <v>0</v>
      </c>
      <c r="L225" s="79">
        <v>0</v>
      </c>
      <c r="M225" s="79">
        <v>0</v>
      </c>
      <c r="N225" s="79">
        <v>0</v>
      </c>
    </row>
    <row r="226" spans="1:20" ht="20.100000000000001" hidden="1" customHeight="1" outlineLevel="1" thickBot="1" x14ac:dyDescent="0.25">
      <c r="A226" s="25" t="str">
        <f t="shared" si="81"/>
        <v>A2124031123211</v>
      </c>
      <c r="B226" s="30" t="s">
        <v>472</v>
      </c>
      <c r="C226" s="26" t="s">
        <v>329</v>
      </c>
      <c r="D226" s="30">
        <v>112</v>
      </c>
      <c r="E226" s="30" t="str">
        <f>LEFT(H226,1)</f>
        <v>3</v>
      </c>
      <c r="F226" s="30" t="str">
        <f>LEFT(H226,2)</f>
        <v>32</v>
      </c>
      <c r="G226" s="26" t="str">
        <f>LEFT(H226,3)</f>
        <v>321</v>
      </c>
      <c r="H226" s="86" t="s">
        <v>130</v>
      </c>
      <c r="I226" s="86" t="s">
        <v>132</v>
      </c>
      <c r="J226" s="87">
        <v>0</v>
      </c>
      <c r="K226" s="87">
        <v>0</v>
      </c>
      <c r="L226" s="87">
        <v>0</v>
      </c>
      <c r="M226" s="87">
        <v>0</v>
      </c>
      <c r="N226" s="87">
        <v>0</v>
      </c>
      <c r="O226" s="31"/>
      <c r="T226" s="25" t="str">
        <f t="shared" si="95"/>
        <v>A2124031123211</v>
      </c>
    </row>
    <row r="227" spans="1:20" ht="35.1" customHeight="1" collapsed="1" thickBot="1" x14ac:dyDescent="0.25">
      <c r="B227" s="30"/>
      <c r="H227" s="225" t="s">
        <v>258</v>
      </c>
      <c r="I227" s="225"/>
      <c r="J227" s="82">
        <v>61189.23</v>
      </c>
      <c r="K227" s="82">
        <v>188000</v>
      </c>
      <c r="L227" s="82">
        <v>0</v>
      </c>
      <c r="M227" s="82">
        <v>0</v>
      </c>
      <c r="N227" s="82">
        <v>0</v>
      </c>
    </row>
    <row r="228" spans="1:20" ht="24.95" customHeight="1" thickBot="1" x14ac:dyDescent="0.25">
      <c r="B228" s="30"/>
      <c r="H228" s="230" t="s">
        <v>56</v>
      </c>
      <c r="I228" s="230"/>
      <c r="J228" s="79">
        <v>61189.23</v>
      </c>
      <c r="K228" s="79">
        <v>188000</v>
      </c>
      <c r="L228" s="79">
        <v>0</v>
      </c>
      <c r="M228" s="79">
        <v>0</v>
      </c>
      <c r="N228" s="79">
        <v>0</v>
      </c>
    </row>
    <row r="229" spans="1:20" ht="20.100000000000001" hidden="1" customHeight="1" outlineLevel="1" x14ac:dyDescent="0.2">
      <c r="A229" s="25" t="str">
        <f t="shared" si="81"/>
        <v>A2124041123235</v>
      </c>
      <c r="B229" s="30" t="s">
        <v>472</v>
      </c>
      <c r="C229" s="26" t="s">
        <v>330</v>
      </c>
      <c r="D229" s="30">
        <v>112</v>
      </c>
      <c r="E229" s="30" t="str">
        <f>LEFT(H229,1)</f>
        <v>3</v>
      </c>
      <c r="F229" s="30" t="str">
        <f>LEFT(H229,2)</f>
        <v>32</v>
      </c>
      <c r="G229" s="26" t="str">
        <f>LEFT(H229,3)</f>
        <v>323</v>
      </c>
      <c r="H229" s="86" t="s">
        <v>97</v>
      </c>
      <c r="I229" s="86" t="s">
        <v>99</v>
      </c>
      <c r="J229" s="87">
        <v>61189.23</v>
      </c>
      <c r="K229" s="87">
        <v>0</v>
      </c>
      <c r="L229" s="87">
        <v>0</v>
      </c>
      <c r="M229" s="87">
        <v>0</v>
      </c>
      <c r="N229" s="87">
        <v>0</v>
      </c>
      <c r="O229" s="31"/>
      <c r="T229" s="25" t="str">
        <f t="shared" si="95"/>
        <v>A2124041123235</v>
      </c>
    </row>
    <row r="230" spans="1:20" ht="20.100000000000001" hidden="1" customHeight="1" outlineLevel="1" thickBot="1" x14ac:dyDescent="0.25">
      <c r="A230" s="25" t="str">
        <f t="shared" si="81"/>
        <v>A2124041123722</v>
      </c>
      <c r="B230" s="30" t="s">
        <v>472</v>
      </c>
      <c r="C230" s="26" t="s">
        <v>330</v>
      </c>
      <c r="D230" s="30">
        <v>112</v>
      </c>
      <c r="E230" s="30" t="str">
        <f>LEFT(H230,1)</f>
        <v>3</v>
      </c>
      <c r="F230" s="30" t="str">
        <f>LEFT(H230,2)</f>
        <v>37</v>
      </c>
      <c r="G230" s="26" t="str">
        <f>LEFT(H230,3)</f>
        <v>372</v>
      </c>
      <c r="H230" s="86" t="s">
        <v>260</v>
      </c>
      <c r="I230" s="86" t="s">
        <v>262</v>
      </c>
      <c r="J230" s="87">
        <v>0</v>
      </c>
      <c r="K230" s="87">
        <v>188000</v>
      </c>
      <c r="L230" s="87">
        <v>0</v>
      </c>
      <c r="M230" s="87">
        <v>0</v>
      </c>
      <c r="N230" s="87">
        <v>0</v>
      </c>
      <c r="O230" s="31"/>
      <c r="T230" s="25" t="str">
        <f t="shared" si="95"/>
        <v>A2124041123722</v>
      </c>
    </row>
    <row r="231" spans="1:20" ht="35.1" customHeight="1" collapsed="1" thickBot="1" x14ac:dyDescent="0.25">
      <c r="B231" s="30"/>
      <c r="H231" s="225" t="s">
        <v>263</v>
      </c>
      <c r="I231" s="225"/>
      <c r="J231" s="82">
        <v>995565.30000000028</v>
      </c>
      <c r="K231" s="82">
        <v>3217100</v>
      </c>
      <c r="L231" s="82">
        <v>1299905.6200000001</v>
      </c>
      <c r="M231" s="82">
        <v>130.56959900068833</v>
      </c>
      <c r="N231" s="82">
        <v>40.40613036585745</v>
      </c>
    </row>
    <row r="232" spans="1:20" ht="24.95" customHeight="1" x14ac:dyDescent="0.2">
      <c r="B232" s="30"/>
      <c r="H232" s="230" t="s">
        <v>56</v>
      </c>
      <c r="I232" s="230"/>
      <c r="J232" s="79">
        <v>567403.81000000006</v>
      </c>
      <c r="K232" s="79">
        <v>2207800</v>
      </c>
      <c r="L232" s="79">
        <v>1146161.8500000001</v>
      </c>
      <c r="M232" s="79">
        <v>202.00108455387357</v>
      </c>
      <c r="N232" s="79">
        <v>51.914206449859591</v>
      </c>
    </row>
    <row r="233" spans="1:20" ht="20.100000000000001" hidden="1" customHeight="1" outlineLevel="1" x14ac:dyDescent="0.2">
      <c r="A233" s="25" t="str">
        <f t="shared" si="81"/>
        <v>K2124011123222</v>
      </c>
      <c r="B233" s="30" t="s">
        <v>472</v>
      </c>
      <c r="C233" s="26" t="s">
        <v>331</v>
      </c>
      <c r="D233" s="30">
        <v>112</v>
      </c>
      <c r="E233" s="30" t="str">
        <f t="shared" ref="E233:E240" si="121">LEFT(H233,1)</f>
        <v>3</v>
      </c>
      <c r="F233" s="30" t="str">
        <f t="shared" ref="F233:F240" si="122">LEFT(H233,2)</f>
        <v>32</v>
      </c>
      <c r="G233" s="26" t="str">
        <f t="shared" ref="G233:G240" si="123">LEFT(H233,3)</f>
        <v>322</v>
      </c>
      <c r="H233" s="86" t="s">
        <v>75</v>
      </c>
      <c r="I233" s="86" t="s">
        <v>77</v>
      </c>
      <c r="J233" s="87">
        <v>0</v>
      </c>
      <c r="K233" s="87">
        <v>0</v>
      </c>
      <c r="L233" s="87">
        <v>0</v>
      </c>
      <c r="M233" s="87">
        <v>0</v>
      </c>
      <c r="N233" s="87">
        <v>0</v>
      </c>
      <c r="O233" s="31"/>
      <c r="T233" s="25" t="str">
        <f t="shared" si="95"/>
        <v>K2124011123222</v>
      </c>
    </row>
    <row r="234" spans="1:20" ht="20.100000000000001" hidden="1" customHeight="1" outlineLevel="1" x14ac:dyDescent="0.2">
      <c r="A234" s="25" t="str">
        <f t="shared" si="81"/>
        <v>K2124011123232</v>
      </c>
      <c r="B234" s="30" t="s">
        <v>472</v>
      </c>
      <c r="C234" s="26" t="s">
        <v>331</v>
      </c>
      <c r="D234" s="30">
        <v>112</v>
      </c>
      <c r="E234" s="30" t="str">
        <f t="shared" si="121"/>
        <v>3</v>
      </c>
      <c r="F234" s="30" t="str">
        <f t="shared" si="122"/>
        <v>32</v>
      </c>
      <c r="G234" s="26" t="str">
        <f t="shared" si="123"/>
        <v>323</v>
      </c>
      <c r="H234" s="86" t="s">
        <v>38</v>
      </c>
      <c r="I234" s="86" t="s">
        <v>40</v>
      </c>
      <c r="J234" s="87">
        <v>0</v>
      </c>
      <c r="K234" s="87">
        <v>0</v>
      </c>
      <c r="L234" s="87">
        <v>0</v>
      </c>
      <c r="M234" s="87">
        <v>0</v>
      </c>
      <c r="N234" s="87">
        <v>0</v>
      </c>
      <c r="O234" s="31"/>
      <c r="T234" s="25" t="str">
        <f t="shared" si="95"/>
        <v>K2124011123232</v>
      </c>
    </row>
    <row r="235" spans="1:20" ht="20.100000000000001" hidden="1" customHeight="1" outlineLevel="1" x14ac:dyDescent="0.2">
      <c r="A235" s="25" t="str">
        <f t="shared" si="81"/>
        <v>K2124011124221</v>
      </c>
      <c r="B235" s="30" t="s">
        <v>472</v>
      </c>
      <c r="C235" s="26" t="s">
        <v>331</v>
      </c>
      <c r="D235" s="30">
        <v>112</v>
      </c>
      <c r="E235" s="30" t="str">
        <f t="shared" si="121"/>
        <v>4</v>
      </c>
      <c r="F235" s="30" t="str">
        <f t="shared" si="122"/>
        <v>42</v>
      </c>
      <c r="G235" s="26" t="str">
        <f t="shared" si="123"/>
        <v>422</v>
      </c>
      <c r="H235" s="86" t="s">
        <v>27</v>
      </c>
      <c r="I235" s="86" t="s">
        <v>29</v>
      </c>
      <c r="J235" s="87">
        <v>25683.53</v>
      </c>
      <c r="K235" s="87">
        <v>69100</v>
      </c>
      <c r="L235" s="87">
        <v>0</v>
      </c>
      <c r="M235" s="87">
        <v>0</v>
      </c>
      <c r="N235" s="87">
        <v>0</v>
      </c>
      <c r="O235" s="31"/>
      <c r="T235" s="25" t="str">
        <f t="shared" si="95"/>
        <v>K2124011124221</v>
      </c>
    </row>
    <row r="236" spans="1:20" ht="20.100000000000001" hidden="1" customHeight="1" outlineLevel="1" x14ac:dyDescent="0.2">
      <c r="A236" s="25" t="str">
        <f t="shared" si="81"/>
        <v>K2124011124223</v>
      </c>
      <c r="B236" s="30" t="s">
        <v>472</v>
      </c>
      <c r="C236" s="26" t="s">
        <v>331</v>
      </c>
      <c r="D236" s="30">
        <v>112</v>
      </c>
      <c r="E236" s="30" t="str">
        <f t="shared" si="121"/>
        <v>4</v>
      </c>
      <c r="F236" s="30" t="str">
        <f t="shared" si="122"/>
        <v>42</v>
      </c>
      <c r="G236" s="26" t="str">
        <f t="shared" si="123"/>
        <v>422</v>
      </c>
      <c r="H236" s="86" t="s">
        <v>30</v>
      </c>
      <c r="I236" s="86" t="s">
        <v>32</v>
      </c>
      <c r="J236" s="87">
        <v>0</v>
      </c>
      <c r="K236" s="87">
        <v>171500</v>
      </c>
      <c r="L236" s="87">
        <v>0</v>
      </c>
      <c r="M236" s="87">
        <v>0</v>
      </c>
      <c r="N236" s="87">
        <v>0</v>
      </c>
      <c r="O236" s="31"/>
      <c r="S236" s="32"/>
      <c r="T236" s="25" t="str">
        <f t="shared" si="95"/>
        <v>K2124011124223</v>
      </c>
    </row>
    <row r="237" spans="1:20" ht="20.100000000000001" hidden="1" customHeight="1" outlineLevel="1" x14ac:dyDescent="0.2">
      <c r="A237" s="25" t="str">
        <f t="shared" si="81"/>
        <v>K2124011124231</v>
      </c>
      <c r="B237" s="30" t="s">
        <v>472</v>
      </c>
      <c r="C237" s="26" t="s">
        <v>331</v>
      </c>
      <c r="D237" s="30">
        <v>112</v>
      </c>
      <c r="E237" s="30" t="str">
        <f t="shared" si="121"/>
        <v>4</v>
      </c>
      <c r="F237" s="30" t="str">
        <f t="shared" si="122"/>
        <v>42</v>
      </c>
      <c r="G237" s="26" t="str">
        <f t="shared" si="123"/>
        <v>423</v>
      </c>
      <c r="H237" s="86" t="s">
        <v>14</v>
      </c>
      <c r="I237" s="86" t="s">
        <v>16</v>
      </c>
      <c r="J237" s="87">
        <v>0</v>
      </c>
      <c r="K237" s="87">
        <v>166500</v>
      </c>
      <c r="L237" s="87">
        <v>166500</v>
      </c>
      <c r="M237" s="87">
        <v>0</v>
      </c>
      <c r="N237" s="87">
        <v>100</v>
      </c>
      <c r="O237" s="31"/>
      <c r="T237" s="25" t="str">
        <f t="shared" si="95"/>
        <v>K2124011124231</v>
      </c>
    </row>
    <row r="238" spans="1:20" ht="20.100000000000001" hidden="1" customHeight="1" outlineLevel="1" x14ac:dyDescent="0.2">
      <c r="A238" s="25" t="str">
        <f t="shared" ref="A238:A266" si="124">CONCATENATE(C238,D238,H238)</f>
        <v>K2124011124241</v>
      </c>
      <c r="B238" s="30" t="s">
        <v>472</v>
      </c>
      <c r="C238" s="26" t="s">
        <v>331</v>
      </c>
      <c r="D238" s="30">
        <v>112</v>
      </c>
      <c r="E238" s="30" t="str">
        <f t="shared" si="121"/>
        <v>4</v>
      </c>
      <c r="F238" s="30" t="str">
        <f t="shared" si="122"/>
        <v>42</v>
      </c>
      <c r="G238" s="26" t="str">
        <f t="shared" si="123"/>
        <v>424</v>
      </c>
      <c r="H238" s="86" t="s">
        <v>17</v>
      </c>
      <c r="I238" s="86" t="s">
        <v>19</v>
      </c>
      <c r="J238" s="87">
        <v>541720.28</v>
      </c>
      <c r="K238" s="87">
        <v>1525000</v>
      </c>
      <c r="L238" s="87">
        <v>762502</v>
      </c>
      <c r="M238" s="87">
        <v>140.75566822050672</v>
      </c>
      <c r="N238" s="87">
        <v>50.000131147540984</v>
      </c>
      <c r="O238" s="31"/>
      <c r="S238" s="32"/>
      <c r="T238" s="25" t="str">
        <f t="shared" si="95"/>
        <v>K2124011124241</v>
      </c>
    </row>
    <row r="239" spans="1:20" ht="20.100000000000001" hidden="1" customHeight="1" outlineLevel="1" x14ac:dyDescent="0.2">
      <c r="A239" s="25" t="str">
        <f t="shared" si="124"/>
        <v>K2124011124262</v>
      </c>
      <c r="B239" s="30" t="s">
        <v>472</v>
      </c>
      <c r="C239" s="26" t="s">
        <v>331</v>
      </c>
      <c r="D239" s="30">
        <v>112</v>
      </c>
      <c r="E239" s="30" t="str">
        <f t="shared" ref="E239" si="125">LEFT(H239,1)</f>
        <v>4</v>
      </c>
      <c r="F239" s="30" t="str">
        <f t="shared" ref="F239" si="126">LEFT(H239,2)</f>
        <v>42</v>
      </c>
      <c r="G239" s="26" t="str">
        <f t="shared" ref="G239" si="127">LEFT(H239,3)</f>
        <v>426</v>
      </c>
      <c r="H239" s="212" t="s">
        <v>20</v>
      </c>
      <c r="I239" s="86" t="s">
        <v>22</v>
      </c>
      <c r="J239" s="87">
        <v>0</v>
      </c>
      <c r="K239" s="87">
        <v>4200</v>
      </c>
      <c r="L239" s="87">
        <v>0</v>
      </c>
      <c r="M239" s="87">
        <v>0</v>
      </c>
      <c r="N239" s="87">
        <v>0</v>
      </c>
      <c r="O239" s="31"/>
      <c r="S239" s="32"/>
      <c r="T239" s="25" t="str">
        <f t="shared" si="95"/>
        <v>K2124011124262</v>
      </c>
    </row>
    <row r="240" spans="1:20" ht="20.100000000000001" hidden="1" customHeight="1" outlineLevel="1" x14ac:dyDescent="0.2">
      <c r="A240" s="25" t="str">
        <f t="shared" si="124"/>
        <v>K2124011124511</v>
      </c>
      <c r="B240" s="30" t="s">
        <v>472</v>
      </c>
      <c r="C240" s="26" t="s">
        <v>331</v>
      </c>
      <c r="D240" s="30">
        <v>112</v>
      </c>
      <c r="E240" s="30" t="str">
        <f t="shared" si="121"/>
        <v>4</v>
      </c>
      <c r="F240" s="30" t="str">
        <f t="shared" si="122"/>
        <v>45</v>
      </c>
      <c r="G240" s="26" t="str">
        <f t="shared" si="123"/>
        <v>451</v>
      </c>
      <c r="H240" s="86" t="s">
        <v>23</v>
      </c>
      <c r="I240" s="86" t="s">
        <v>25</v>
      </c>
      <c r="J240" s="87">
        <v>0</v>
      </c>
      <c r="K240" s="87">
        <v>271500</v>
      </c>
      <c r="L240" s="87">
        <v>217159.85</v>
      </c>
      <c r="M240" s="87">
        <v>0</v>
      </c>
      <c r="N240" s="87">
        <v>79.98521178637202</v>
      </c>
      <c r="O240" s="31"/>
      <c r="T240" s="25" t="str">
        <f t="shared" si="95"/>
        <v>K2124011124511</v>
      </c>
    </row>
    <row r="241" spans="1:20" ht="24.95" customHeight="1" collapsed="1" x14ac:dyDescent="0.2">
      <c r="B241" s="30"/>
      <c r="H241" s="230" t="s">
        <v>129</v>
      </c>
      <c r="I241" s="230"/>
      <c r="J241" s="79">
        <v>34576.559999999998</v>
      </c>
      <c r="K241" s="79">
        <v>26000</v>
      </c>
      <c r="L241" s="79">
        <v>15326.16</v>
      </c>
      <c r="M241" s="79">
        <v>44.325288577001295</v>
      </c>
      <c r="N241" s="79">
        <v>58.946769230769227</v>
      </c>
      <c r="S241" s="32"/>
    </row>
    <row r="242" spans="1:20" ht="20.100000000000001" hidden="1" customHeight="1" outlineLevel="1" x14ac:dyDescent="0.2">
      <c r="A242" s="25" t="str">
        <f t="shared" si="124"/>
        <v>K2124014314221</v>
      </c>
      <c r="B242" s="30" t="s">
        <v>472</v>
      </c>
      <c r="C242" s="26" t="s">
        <v>331</v>
      </c>
      <c r="D242" s="30">
        <v>431</v>
      </c>
      <c r="E242" s="30" t="str">
        <f t="shared" ref="E242:E249" si="128">LEFT(H242,1)</f>
        <v>4</v>
      </c>
      <c r="F242" s="30" t="str">
        <f t="shared" ref="F242:F249" si="129">LEFT(H242,2)</f>
        <v>42</v>
      </c>
      <c r="G242" s="26" t="str">
        <f t="shared" ref="G242:G266" si="130">LEFT(H242,3)</f>
        <v>422</v>
      </c>
      <c r="H242" s="86" t="s">
        <v>27</v>
      </c>
      <c r="I242" s="86" t="s">
        <v>29</v>
      </c>
      <c r="J242" s="87">
        <v>32651.56</v>
      </c>
      <c r="K242" s="87">
        <v>20000</v>
      </c>
      <c r="L242" s="87">
        <v>7511.53</v>
      </c>
      <c r="M242" s="87">
        <v>23.005118285313166</v>
      </c>
      <c r="N242" s="87">
        <v>37.557649999999995</v>
      </c>
      <c r="O242" s="31"/>
      <c r="T242" s="25" t="str">
        <f t="shared" si="95"/>
        <v>K2124014314221</v>
      </c>
    </row>
    <row r="243" spans="1:20" ht="20.100000000000001" hidden="1" customHeight="1" outlineLevel="1" x14ac:dyDescent="0.2">
      <c r="A243" s="25" t="str">
        <f t="shared" si="124"/>
        <v>K2124014314222</v>
      </c>
      <c r="B243" s="30" t="s">
        <v>472</v>
      </c>
      <c r="C243" s="26" t="s">
        <v>331</v>
      </c>
      <c r="D243" s="30">
        <v>431</v>
      </c>
      <c r="E243" s="30" t="str">
        <f t="shared" si="128"/>
        <v>4</v>
      </c>
      <c r="F243" s="30" t="str">
        <f t="shared" si="129"/>
        <v>42</v>
      </c>
      <c r="G243" s="26" t="str">
        <f t="shared" si="130"/>
        <v>422</v>
      </c>
      <c r="H243" s="86" t="s">
        <v>272</v>
      </c>
      <c r="I243" s="86" t="s">
        <v>274</v>
      </c>
      <c r="J243" s="87">
        <v>0</v>
      </c>
      <c r="K243" s="87">
        <v>0</v>
      </c>
      <c r="L243" s="87">
        <v>0</v>
      </c>
      <c r="M243" s="87">
        <v>0</v>
      </c>
      <c r="N243" s="87">
        <v>0</v>
      </c>
      <c r="O243" s="31"/>
      <c r="T243" s="25" t="str">
        <f t="shared" si="95"/>
        <v>K2124014314222</v>
      </c>
    </row>
    <row r="244" spans="1:20" ht="20.100000000000001" hidden="1" customHeight="1" outlineLevel="1" x14ac:dyDescent="0.2">
      <c r="A244" s="25" t="str">
        <f t="shared" si="124"/>
        <v>K2124014314223</v>
      </c>
      <c r="B244" s="30" t="s">
        <v>472</v>
      </c>
      <c r="C244" s="26" t="s">
        <v>331</v>
      </c>
      <c r="D244" s="30">
        <v>431</v>
      </c>
      <c r="E244" s="30" t="str">
        <f t="shared" si="128"/>
        <v>4</v>
      </c>
      <c r="F244" s="30" t="str">
        <f t="shared" si="129"/>
        <v>42</v>
      </c>
      <c r="G244" s="26" t="str">
        <f t="shared" si="130"/>
        <v>422</v>
      </c>
      <c r="H244" s="86" t="s">
        <v>30</v>
      </c>
      <c r="I244" s="86" t="s">
        <v>32</v>
      </c>
      <c r="J244" s="87">
        <v>425</v>
      </c>
      <c r="K244" s="87">
        <v>5000</v>
      </c>
      <c r="L244" s="87">
        <v>5939.75</v>
      </c>
      <c r="M244" s="87">
        <v>1397.5882352941178</v>
      </c>
      <c r="N244" s="87">
        <v>118.795</v>
      </c>
      <c r="O244" s="31"/>
      <c r="T244" s="25" t="str">
        <f t="shared" si="95"/>
        <v>K2124014314223</v>
      </c>
    </row>
    <row r="245" spans="1:20" ht="20.100000000000001" hidden="1" customHeight="1" outlineLevel="1" x14ac:dyDescent="0.2">
      <c r="A245" s="25" t="str">
        <f t="shared" si="124"/>
        <v>K2124014314226</v>
      </c>
      <c r="B245" s="30" t="s">
        <v>472</v>
      </c>
      <c r="C245" s="26" t="s">
        <v>331</v>
      </c>
      <c r="D245" s="30">
        <v>431</v>
      </c>
      <c r="E245" s="30" t="str">
        <f t="shared" si="128"/>
        <v>4</v>
      </c>
      <c r="F245" s="30" t="str">
        <f t="shared" si="129"/>
        <v>42</v>
      </c>
      <c r="G245" s="26" t="str">
        <f t="shared" si="130"/>
        <v>422</v>
      </c>
      <c r="H245" s="86" t="s">
        <v>276</v>
      </c>
      <c r="I245" s="86" t="s">
        <v>278</v>
      </c>
      <c r="J245" s="87">
        <v>0</v>
      </c>
      <c r="K245" s="87">
        <v>0</v>
      </c>
      <c r="L245" s="87">
        <v>0</v>
      </c>
      <c r="M245" s="87">
        <v>0</v>
      </c>
      <c r="N245" s="87">
        <v>0</v>
      </c>
      <c r="O245" s="31"/>
      <c r="T245" s="25" t="str">
        <f t="shared" si="95"/>
        <v>K2124014314226</v>
      </c>
    </row>
    <row r="246" spans="1:20" ht="20.100000000000001" hidden="1" customHeight="1" outlineLevel="1" x14ac:dyDescent="0.2">
      <c r="A246" s="25" t="str">
        <f t="shared" si="124"/>
        <v>K2124014314231</v>
      </c>
      <c r="B246" s="30" t="s">
        <v>472</v>
      </c>
      <c r="C246" s="26" t="s">
        <v>331</v>
      </c>
      <c r="D246" s="30">
        <v>431</v>
      </c>
      <c r="E246" s="30" t="str">
        <f t="shared" si="128"/>
        <v>4</v>
      </c>
      <c r="F246" s="30" t="str">
        <f t="shared" si="129"/>
        <v>42</v>
      </c>
      <c r="G246" s="26" t="str">
        <f t="shared" si="130"/>
        <v>423</v>
      </c>
      <c r="H246" s="86" t="s">
        <v>14</v>
      </c>
      <c r="I246" s="86" t="s">
        <v>16</v>
      </c>
      <c r="J246" s="87">
        <v>1500</v>
      </c>
      <c r="K246" s="87">
        <v>0</v>
      </c>
      <c r="L246" s="87">
        <v>0</v>
      </c>
      <c r="M246" s="87">
        <v>0</v>
      </c>
      <c r="N246" s="87">
        <v>0</v>
      </c>
      <c r="O246" s="31"/>
      <c r="T246" s="25" t="str">
        <f t="shared" si="95"/>
        <v>K2124014314231</v>
      </c>
    </row>
    <row r="247" spans="1:20" ht="20.100000000000001" hidden="1" customHeight="1" outlineLevel="1" x14ac:dyDescent="0.2">
      <c r="A247" s="25" t="str">
        <f t="shared" si="124"/>
        <v>K2124014314241</v>
      </c>
      <c r="B247" s="30" t="s">
        <v>472</v>
      </c>
      <c r="C247" s="26" t="s">
        <v>331</v>
      </c>
      <c r="D247" s="30">
        <v>431</v>
      </c>
      <c r="E247" s="30" t="str">
        <f t="shared" si="128"/>
        <v>4</v>
      </c>
      <c r="F247" s="30" t="str">
        <f t="shared" si="129"/>
        <v>42</v>
      </c>
      <c r="G247" s="26" t="str">
        <f t="shared" si="130"/>
        <v>424</v>
      </c>
      <c r="H247" s="86" t="s">
        <v>17</v>
      </c>
      <c r="I247" s="86" t="s">
        <v>19</v>
      </c>
      <c r="J247" s="87">
        <v>0</v>
      </c>
      <c r="K247" s="87">
        <v>1000</v>
      </c>
      <c r="L247" s="87">
        <v>0</v>
      </c>
      <c r="M247" s="87">
        <v>0</v>
      </c>
      <c r="N247" s="87">
        <v>0</v>
      </c>
      <c r="O247" s="31"/>
      <c r="T247" s="25" t="str">
        <f t="shared" si="95"/>
        <v>K2124014314241</v>
      </c>
    </row>
    <row r="248" spans="1:20" ht="20.100000000000001" hidden="1" customHeight="1" outlineLevel="1" x14ac:dyDescent="0.2">
      <c r="A248" s="25" t="str">
        <f t="shared" si="124"/>
        <v>K2124014314262</v>
      </c>
      <c r="B248" s="30" t="s">
        <v>472</v>
      </c>
      <c r="C248" s="26" t="s">
        <v>331</v>
      </c>
      <c r="D248" s="30">
        <v>431</v>
      </c>
      <c r="E248" s="30" t="str">
        <f t="shared" si="128"/>
        <v>4</v>
      </c>
      <c r="F248" s="30" t="str">
        <f t="shared" si="129"/>
        <v>42</v>
      </c>
      <c r="G248" s="26" t="str">
        <f t="shared" si="130"/>
        <v>426</v>
      </c>
      <c r="H248" s="86" t="s">
        <v>20</v>
      </c>
      <c r="I248" s="86" t="s">
        <v>22</v>
      </c>
      <c r="J248" s="87">
        <v>0</v>
      </c>
      <c r="K248" s="87">
        <v>0</v>
      </c>
      <c r="L248" s="87">
        <v>1874.88</v>
      </c>
      <c r="M248" s="87">
        <v>0</v>
      </c>
      <c r="N248" s="87">
        <v>0</v>
      </c>
      <c r="O248" s="31"/>
      <c r="S248" s="29" t="s">
        <v>555</v>
      </c>
      <c r="T248" s="25" t="str">
        <f t="shared" si="95"/>
        <v>K2124014314262</v>
      </c>
    </row>
    <row r="249" spans="1:20" ht="20.100000000000001" hidden="1" customHeight="1" outlineLevel="1" x14ac:dyDescent="0.2">
      <c r="A249" s="25" t="str">
        <f t="shared" si="124"/>
        <v>K2124014314511</v>
      </c>
      <c r="B249" s="30" t="s">
        <v>472</v>
      </c>
      <c r="C249" s="26" t="s">
        <v>331</v>
      </c>
      <c r="D249" s="30">
        <v>431</v>
      </c>
      <c r="E249" s="30" t="str">
        <f t="shared" si="128"/>
        <v>4</v>
      </c>
      <c r="F249" s="30" t="str">
        <f t="shared" si="129"/>
        <v>45</v>
      </c>
      <c r="G249" s="26" t="str">
        <f t="shared" si="130"/>
        <v>451</v>
      </c>
      <c r="H249" s="86" t="s">
        <v>23</v>
      </c>
      <c r="I249" s="86" t="s">
        <v>25</v>
      </c>
      <c r="J249" s="87">
        <v>0</v>
      </c>
      <c r="K249" s="87">
        <v>0</v>
      </c>
      <c r="L249" s="87">
        <v>0</v>
      </c>
      <c r="M249" s="87">
        <v>0</v>
      </c>
      <c r="N249" s="87">
        <v>0</v>
      </c>
      <c r="O249" s="31" t="s">
        <v>347</v>
      </c>
      <c r="P249" s="25" t="s">
        <v>351</v>
      </c>
      <c r="Q249" s="25" t="s">
        <v>348</v>
      </c>
      <c r="R249" s="25" t="s">
        <v>349</v>
      </c>
      <c r="T249" s="25" t="str">
        <f t="shared" si="95"/>
        <v>K2124014314511</v>
      </c>
    </row>
    <row r="250" spans="1:20" ht="24.95" customHeight="1" collapsed="1" x14ac:dyDescent="0.2">
      <c r="B250" s="30"/>
      <c r="H250" s="230" t="s">
        <v>26</v>
      </c>
      <c r="I250" s="230"/>
      <c r="J250" s="79">
        <v>391333.64000000013</v>
      </c>
      <c r="K250" s="79">
        <v>882000</v>
      </c>
      <c r="L250" s="79">
        <v>138417.60999999999</v>
      </c>
      <c r="M250" s="79">
        <v>35.370741447119123</v>
      </c>
      <c r="N250" s="79">
        <v>15.693606575963717</v>
      </c>
      <c r="O250" s="25">
        <f>SUMIFS(O251:O418,$C251:$C418,"K212401",$D251:$D418,"521")</f>
        <v>342764.86</v>
      </c>
      <c r="P250" s="25">
        <f>SUMIFS(P251:P418,$C251:$C418,"K212401",$D251:$D418,"521")</f>
        <v>319999.93</v>
      </c>
      <c r="Q250" s="25">
        <f>SUMIFS(Q251:Q418,$C251:$C418,"K212401",$D251:$D418,"521")</f>
        <v>25990.7</v>
      </c>
      <c r="R250" s="25">
        <f>SUMIFS(R251:R418,$C251:$C418,"K212401",$D251:$D418,"521")</f>
        <v>12923.06</v>
      </c>
      <c r="S250" s="32"/>
    </row>
    <row r="251" spans="1:20" ht="20.100000000000001" hidden="1" customHeight="1" outlineLevel="1" x14ac:dyDescent="0.2">
      <c r="A251" s="25" t="str">
        <f t="shared" si="124"/>
        <v>K2124015214221</v>
      </c>
      <c r="B251" s="30" t="s">
        <v>472</v>
      </c>
      <c r="C251" s="26" t="s">
        <v>331</v>
      </c>
      <c r="D251" s="30">
        <v>521</v>
      </c>
      <c r="E251" s="30" t="str">
        <f>LEFT(H251,1)</f>
        <v>4</v>
      </c>
      <c r="F251" s="30" t="str">
        <f>LEFT(H251,2)</f>
        <v>42</v>
      </c>
      <c r="G251" s="26" t="str">
        <f t="shared" si="130"/>
        <v>422</v>
      </c>
      <c r="H251" s="86" t="s">
        <v>27</v>
      </c>
      <c r="I251" s="86" t="s">
        <v>29</v>
      </c>
      <c r="J251" s="87">
        <v>0</v>
      </c>
      <c r="K251" s="87">
        <v>0</v>
      </c>
      <c r="L251" s="87">
        <v>0</v>
      </c>
      <c r="M251" s="87">
        <v>0</v>
      </c>
      <c r="N251" s="87">
        <v>0</v>
      </c>
      <c r="O251" s="31">
        <v>221.98</v>
      </c>
      <c r="T251" s="25" t="str">
        <f t="shared" si="95"/>
        <v>K2124015214221</v>
      </c>
    </row>
    <row r="252" spans="1:20" ht="20.100000000000001" hidden="1" customHeight="1" outlineLevel="1" x14ac:dyDescent="0.2">
      <c r="A252" s="25" t="str">
        <f t="shared" si="124"/>
        <v>K2124015214223</v>
      </c>
      <c r="B252" s="30" t="s">
        <v>472</v>
      </c>
      <c r="C252" s="26" t="s">
        <v>331</v>
      </c>
      <c r="D252" s="30">
        <v>521</v>
      </c>
      <c r="E252" s="30" t="str">
        <f>LEFT(H252,1)</f>
        <v>4</v>
      </c>
      <c r="F252" s="30" t="str">
        <f>LEFT(H252,2)</f>
        <v>42</v>
      </c>
      <c r="G252" s="26" t="str">
        <f t="shared" si="130"/>
        <v>422</v>
      </c>
      <c r="H252" s="86" t="s">
        <v>30</v>
      </c>
      <c r="I252" s="86" t="s">
        <v>32</v>
      </c>
      <c r="J252" s="87">
        <v>0</v>
      </c>
      <c r="K252" s="87">
        <v>0</v>
      </c>
      <c r="L252" s="87">
        <v>0</v>
      </c>
      <c r="M252" s="87">
        <v>0</v>
      </c>
      <c r="N252" s="87">
        <v>0</v>
      </c>
      <c r="O252" s="31"/>
      <c r="T252" s="25" t="str">
        <f t="shared" si="95"/>
        <v>K2124015214223</v>
      </c>
    </row>
    <row r="253" spans="1:20" ht="20.100000000000001" hidden="1" customHeight="1" outlineLevel="1" x14ac:dyDescent="0.2">
      <c r="A253" s="25" t="str">
        <f t="shared" si="124"/>
        <v>K2124015214241</v>
      </c>
      <c r="B253" s="30" t="s">
        <v>472</v>
      </c>
      <c r="C253" s="26" t="s">
        <v>331</v>
      </c>
      <c r="D253" s="30">
        <v>521</v>
      </c>
      <c r="E253" s="30" t="str">
        <f>LEFT(H253,1)</f>
        <v>4</v>
      </c>
      <c r="F253" s="30" t="str">
        <f>LEFT(H253,2)</f>
        <v>42</v>
      </c>
      <c r="G253" s="26" t="str">
        <f t="shared" si="130"/>
        <v>424</v>
      </c>
      <c r="H253" s="86" t="s">
        <v>17</v>
      </c>
      <c r="I253" s="86" t="s">
        <v>19</v>
      </c>
      <c r="J253" s="87">
        <v>391333.64000000013</v>
      </c>
      <c r="K253" s="87">
        <v>882000</v>
      </c>
      <c r="L253" s="87">
        <v>138417.60999999999</v>
      </c>
      <c r="M253" s="87">
        <v>35.370741447119123</v>
      </c>
      <c r="N253" s="87">
        <v>15.693606575963717</v>
      </c>
      <c r="O253" s="31">
        <v>342542.88</v>
      </c>
      <c r="P253" s="25">
        <v>319999.93</v>
      </c>
      <c r="Q253" s="25">
        <v>25990.7</v>
      </c>
      <c r="R253" s="25">
        <v>12923.06</v>
      </c>
      <c r="T253" s="25" t="str">
        <f t="shared" si="95"/>
        <v>K2124015214241</v>
      </c>
    </row>
    <row r="254" spans="1:20" ht="24.95" customHeight="1" collapsed="1" x14ac:dyDescent="0.2">
      <c r="B254" s="30"/>
      <c r="H254" s="230" t="s">
        <v>34</v>
      </c>
      <c r="I254" s="230"/>
      <c r="J254" s="79">
        <v>2102.2900000000041</v>
      </c>
      <c r="K254" s="79">
        <v>0</v>
      </c>
      <c r="L254" s="79">
        <v>0</v>
      </c>
      <c r="M254" s="79">
        <v>0</v>
      </c>
      <c r="N254" s="79">
        <v>0</v>
      </c>
    </row>
    <row r="255" spans="1:20" ht="20.100000000000001" hidden="1" customHeight="1" outlineLevel="1" x14ac:dyDescent="0.2">
      <c r="A255" s="25" t="str">
        <f t="shared" si="124"/>
        <v>K2124015414221</v>
      </c>
      <c r="B255" s="30" t="s">
        <v>472</v>
      </c>
      <c r="C255" s="26" t="s">
        <v>331</v>
      </c>
      <c r="D255" s="30">
        <v>541</v>
      </c>
      <c r="E255" s="30" t="str">
        <f>LEFT(H255,1)</f>
        <v>4</v>
      </c>
      <c r="F255" s="30" t="str">
        <f>LEFT(H255,2)</f>
        <v>42</v>
      </c>
      <c r="G255" s="26" t="str">
        <f t="shared" si="130"/>
        <v>422</v>
      </c>
      <c r="H255" s="86" t="s">
        <v>27</v>
      </c>
      <c r="I255" s="86" t="s">
        <v>29</v>
      </c>
      <c r="J255" s="87">
        <v>1956.310000000004</v>
      </c>
      <c r="K255" s="87">
        <v>0</v>
      </c>
      <c r="L255" s="87">
        <v>0</v>
      </c>
      <c r="M255" s="87">
        <v>0</v>
      </c>
      <c r="N255" s="87">
        <v>0</v>
      </c>
      <c r="O255" s="31"/>
      <c r="T255" s="25" t="str">
        <f t="shared" si="95"/>
        <v>K2124015414221</v>
      </c>
    </row>
    <row r="256" spans="1:20" ht="20.100000000000001" hidden="1" customHeight="1" outlineLevel="1" x14ac:dyDescent="0.2">
      <c r="A256" s="25" t="str">
        <f t="shared" si="124"/>
        <v>K2124015414241</v>
      </c>
      <c r="B256" s="30" t="s">
        <v>472</v>
      </c>
      <c r="C256" s="26" t="s">
        <v>331</v>
      </c>
      <c r="D256" s="30">
        <v>541</v>
      </c>
      <c r="E256" s="30" t="str">
        <f>LEFT(H256,1)</f>
        <v>4</v>
      </c>
      <c r="F256" s="30" t="str">
        <f>LEFT(H256,2)</f>
        <v>42</v>
      </c>
      <c r="G256" s="26" t="str">
        <f t="shared" ref="G256" si="131">LEFT(H256,3)</f>
        <v>424</v>
      </c>
      <c r="H256" s="86" t="s">
        <v>17</v>
      </c>
      <c r="I256" s="86" t="s">
        <v>19</v>
      </c>
      <c r="J256" s="87">
        <v>0</v>
      </c>
      <c r="K256" s="87">
        <v>0</v>
      </c>
      <c r="L256" s="87">
        <v>0</v>
      </c>
      <c r="M256" s="87">
        <v>0</v>
      </c>
      <c r="N256" s="87">
        <v>0</v>
      </c>
      <c r="O256" s="31"/>
      <c r="T256" s="25" t="str">
        <f t="shared" si="95"/>
        <v>K2124015414241</v>
      </c>
    </row>
    <row r="257" spans="1:20" ht="20.100000000000001" hidden="1" customHeight="1" outlineLevel="1" x14ac:dyDescent="0.2">
      <c r="A257" s="25" t="str">
        <f t="shared" si="124"/>
        <v>K2124015414262</v>
      </c>
      <c r="B257" s="30" t="s">
        <v>472</v>
      </c>
      <c r="C257" s="26" t="s">
        <v>331</v>
      </c>
      <c r="D257" s="30">
        <v>541</v>
      </c>
      <c r="E257" s="30" t="str">
        <f>LEFT(H257,1)</f>
        <v>4</v>
      </c>
      <c r="F257" s="30" t="str">
        <f>LEFT(H257,2)</f>
        <v>42</v>
      </c>
      <c r="G257" s="26" t="str">
        <f t="shared" si="130"/>
        <v>426</v>
      </c>
      <c r="H257" s="95">
        <v>4262</v>
      </c>
      <c r="I257" s="86" t="s">
        <v>22</v>
      </c>
      <c r="J257" s="87">
        <v>145.97999999999999</v>
      </c>
      <c r="K257" s="87">
        <v>0</v>
      </c>
      <c r="L257" s="87">
        <v>0</v>
      </c>
      <c r="M257" s="87">
        <v>0</v>
      </c>
      <c r="N257" s="87">
        <v>0</v>
      </c>
      <c r="O257" s="31"/>
      <c r="S257" s="29" t="s">
        <v>555</v>
      </c>
      <c r="T257" s="25" t="str">
        <f t="shared" si="95"/>
        <v>K2124015414262</v>
      </c>
    </row>
    <row r="258" spans="1:20" ht="24.95" customHeight="1" collapsed="1" x14ac:dyDescent="0.2">
      <c r="B258" s="30"/>
      <c r="H258" s="230" t="s">
        <v>37</v>
      </c>
      <c r="I258" s="230"/>
      <c r="J258" s="79">
        <v>0</v>
      </c>
      <c r="K258" s="79">
        <v>0</v>
      </c>
      <c r="L258" s="79">
        <v>0</v>
      </c>
      <c r="M258" s="79">
        <v>0</v>
      </c>
      <c r="N258" s="79">
        <v>0</v>
      </c>
    </row>
    <row r="259" spans="1:20" ht="20.100000000000001" hidden="1" customHeight="1" outlineLevel="1" x14ac:dyDescent="0.2">
      <c r="A259" s="25" t="str">
        <f t="shared" si="124"/>
        <v>K2124015713232</v>
      </c>
      <c r="B259" s="30" t="s">
        <v>472</v>
      </c>
      <c r="C259" s="26" t="s">
        <v>331</v>
      </c>
      <c r="D259" s="30">
        <v>571</v>
      </c>
      <c r="E259" s="30" t="str">
        <f>LEFT(H259,1)</f>
        <v>3</v>
      </c>
      <c r="F259" s="30" t="str">
        <f>LEFT(H259,2)</f>
        <v>32</v>
      </c>
      <c r="G259" s="26" t="str">
        <f t="shared" si="130"/>
        <v>323</v>
      </c>
      <c r="H259" s="86" t="s">
        <v>38</v>
      </c>
      <c r="I259" s="86" t="s">
        <v>40</v>
      </c>
      <c r="J259" s="87">
        <v>0</v>
      </c>
      <c r="K259" s="87">
        <v>0</v>
      </c>
      <c r="L259" s="87">
        <v>0</v>
      </c>
      <c r="M259" s="87">
        <v>0</v>
      </c>
      <c r="N259" s="87">
        <v>0</v>
      </c>
      <c r="O259" s="31"/>
      <c r="T259" s="25" t="str">
        <f t="shared" si="95"/>
        <v>K2124015713232</v>
      </c>
    </row>
    <row r="260" spans="1:20" ht="20.100000000000001" hidden="1" customHeight="1" outlineLevel="1" x14ac:dyDescent="0.2">
      <c r="A260" s="25" t="str">
        <f t="shared" si="124"/>
        <v>K2124015713237</v>
      </c>
      <c r="B260" s="30" t="s">
        <v>472</v>
      </c>
      <c r="C260" s="26" t="s">
        <v>331</v>
      </c>
      <c r="D260" s="30">
        <v>571</v>
      </c>
      <c r="E260" s="30" t="str">
        <f>LEFT(H260,1)</f>
        <v>3</v>
      </c>
      <c r="F260" s="30" t="str">
        <f>LEFT(H260,2)</f>
        <v>32</v>
      </c>
      <c r="G260" s="26" t="str">
        <f t="shared" si="130"/>
        <v>323</v>
      </c>
      <c r="H260" s="86" t="s">
        <v>41</v>
      </c>
      <c r="I260" s="86" t="s">
        <v>43</v>
      </c>
      <c r="J260" s="87">
        <v>0</v>
      </c>
      <c r="K260" s="87">
        <v>0</v>
      </c>
      <c r="L260" s="87">
        <v>0</v>
      </c>
      <c r="M260" s="87">
        <v>0</v>
      </c>
      <c r="N260" s="87">
        <v>0</v>
      </c>
      <c r="O260" s="31"/>
      <c r="T260" s="25" t="str">
        <f t="shared" si="95"/>
        <v>K2124015713237</v>
      </c>
    </row>
    <row r="261" spans="1:20" ht="20.100000000000001" hidden="1" customHeight="1" outlineLevel="1" x14ac:dyDescent="0.2">
      <c r="A261" s="25" t="str">
        <f t="shared" si="124"/>
        <v>K2124015714511</v>
      </c>
      <c r="B261" s="30" t="s">
        <v>472</v>
      </c>
      <c r="C261" s="26" t="s">
        <v>331</v>
      </c>
      <c r="D261" s="30">
        <v>571</v>
      </c>
      <c r="E261" s="30" t="str">
        <f>LEFT(H261,1)</f>
        <v>4</v>
      </c>
      <c r="F261" s="30" t="str">
        <f>LEFT(H261,2)</f>
        <v>45</v>
      </c>
      <c r="G261" s="26" t="str">
        <f t="shared" si="130"/>
        <v>451</v>
      </c>
      <c r="H261" s="86" t="s">
        <v>23</v>
      </c>
      <c r="I261" s="86" t="s">
        <v>25</v>
      </c>
      <c r="J261" s="87">
        <v>0</v>
      </c>
      <c r="K261" s="87">
        <v>0</v>
      </c>
      <c r="L261" s="87">
        <v>0</v>
      </c>
      <c r="M261" s="87">
        <v>0</v>
      </c>
      <c r="N261" s="87">
        <v>0</v>
      </c>
      <c r="O261" s="31" t="s">
        <v>352</v>
      </c>
      <c r="P261" s="25">
        <v>614</v>
      </c>
      <c r="T261" s="25" t="str">
        <f t="shared" si="95"/>
        <v>K2124015714511</v>
      </c>
    </row>
    <row r="262" spans="1:20" ht="24.95" customHeight="1" collapsed="1" x14ac:dyDescent="0.2">
      <c r="B262" s="30"/>
      <c r="H262" s="230" t="s">
        <v>45</v>
      </c>
      <c r="I262" s="230"/>
      <c r="J262" s="79">
        <v>149</v>
      </c>
      <c r="K262" s="79">
        <v>100000</v>
      </c>
      <c r="L262" s="79">
        <v>0</v>
      </c>
      <c r="M262" s="79">
        <v>0</v>
      </c>
      <c r="N262" s="79">
        <v>0</v>
      </c>
      <c r="O262" s="25">
        <f>SUMIFS(O263:O429,$C263:$C429,"K212401",$D263:$D429,"611")</f>
        <v>149</v>
      </c>
      <c r="P262" s="25">
        <f>SUMIFS(P263:P429,$C263:$C429,"K212401",$D263:$D429,"611")</f>
        <v>93892.19</v>
      </c>
    </row>
    <row r="263" spans="1:20" ht="20.100000000000001" hidden="1" customHeight="1" outlineLevel="1" x14ac:dyDescent="0.2">
      <c r="A263" s="25" t="str">
        <f t="shared" si="124"/>
        <v>K2124016114221</v>
      </c>
      <c r="B263" s="30" t="s">
        <v>472</v>
      </c>
      <c r="C263" s="26" t="s">
        <v>331</v>
      </c>
      <c r="D263" s="30">
        <v>611</v>
      </c>
      <c r="E263" s="30" t="str">
        <f>LEFT(H263,1)</f>
        <v>4</v>
      </c>
      <c r="F263" s="30" t="str">
        <f>LEFT(H263,2)</f>
        <v>42</v>
      </c>
      <c r="G263" s="26" t="str">
        <f t="shared" si="130"/>
        <v>422</v>
      </c>
      <c r="H263" s="86" t="s">
        <v>27</v>
      </c>
      <c r="I263" s="86" t="s">
        <v>29</v>
      </c>
      <c r="J263" s="87">
        <v>149</v>
      </c>
      <c r="K263" s="87">
        <v>0</v>
      </c>
      <c r="L263" s="87">
        <v>0</v>
      </c>
      <c r="M263" s="87">
        <v>0</v>
      </c>
      <c r="N263" s="87">
        <v>0</v>
      </c>
      <c r="O263" s="31">
        <v>149</v>
      </c>
      <c r="T263" s="25" t="str">
        <f t="shared" si="95"/>
        <v>K2124016114221</v>
      </c>
    </row>
    <row r="264" spans="1:20" ht="20.100000000000001" hidden="1" customHeight="1" outlineLevel="1" x14ac:dyDescent="0.2">
      <c r="A264" s="25" t="str">
        <f t="shared" si="124"/>
        <v>K2124016114241</v>
      </c>
      <c r="B264" s="30" t="s">
        <v>472</v>
      </c>
      <c r="C264" s="26" t="s">
        <v>331</v>
      </c>
      <c r="D264" s="30">
        <v>611</v>
      </c>
      <c r="E264" s="30" t="str">
        <f>LEFT(H264,1)</f>
        <v>4</v>
      </c>
      <c r="F264" s="30" t="str">
        <f>LEFT(H264,2)</f>
        <v>42</v>
      </c>
      <c r="G264" s="26" t="str">
        <f t="shared" si="130"/>
        <v>424</v>
      </c>
      <c r="H264" s="86" t="s">
        <v>17</v>
      </c>
      <c r="I264" s="86" t="s">
        <v>19</v>
      </c>
      <c r="J264" s="87">
        <v>0</v>
      </c>
      <c r="K264" s="87">
        <v>100000</v>
      </c>
      <c r="L264" s="87">
        <v>0</v>
      </c>
      <c r="M264" s="87">
        <v>0</v>
      </c>
      <c r="N264" s="87">
        <v>0</v>
      </c>
      <c r="O264" s="31"/>
      <c r="P264" s="25">
        <v>93892.19</v>
      </c>
      <c r="T264" s="25" t="str">
        <f t="shared" si="95"/>
        <v>K2124016114241</v>
      </c>
    </row>
    <row r="265" spans="1:20" ht="24.95" customHeight="1" collapsed="1" thickBot="1" x14ac:dyDescent="0.25">
      <c r="B265" s="30"/>
      <c r="H265" s="230" t="s">
        <v>48</v>
      </c>
      <c r="I265" s="230"/>
      <c r="J265" s="79">
        <v>0</v>
      </c>
      <c r="K265" s="79">
        <v>1300</v>
      </c>
      <c r="L265" s="79">
        <v>0</v>
      </c>
      <c r="M265" s="79">
        <v>0</v>
      </c>
      <c r="N265" s="79">
        <v>0</v>
      </c>
    </row>
    <row r="266" spans="1:20" ht="20.100000000000001" hidden="1" customHeight="1" outlineLevel="1" thickBot="1" x14ac:dyDescent="0.25">
      <c r="A266" s="25" t="str">
        <f t="shared" si="124"/>
        <v>K2124017114221</v>
      </c>
      <c r="B266" s="30" t="s">
        <v>472</v>
      </c>
      <c r="C266" s="26" t="s">
        <v>331</v>
      </c>
      <c r="D266" s="30">
        <v>711</v>
      </c>
      <c r="E266" s="30" t="str">
        <f>LEFT(H266,1)</f>
        <v>4</v>
      </c>
      <c r="F266" s="30" t="str">
        <f>LEFT(H266,2)</f>
        <v>42</v>
      </c>
      <c r="G266" s="26" t="str">
        <f t="shared" si="130"/>
        <v>422</v>
      </c>
      <c r="H266" s="86" t="s">
        <v>27</v>
      </c>
      <c r="I266" s="86" t="s">
        <v>29</v>
      </c>
      <c r="J266" s="87">
        <v>0</v>
      </c>
      <c r="K266" s="87">
        <v>1300</v>
      </c>
      <c r="L266" s="87">
        <v>0</v>
      </c>
      <c r="M266" s="87">
        <v>0</v>
      </c>
      <c r="N266" s="87">
        <v>0</v>
      </c>
      <c r="O266" s="31"/>
      <c r="T266" s="25" t="str">
        <f t="shared" si="95"/>
        <v>K2124017114221</v>
      </c>
    </row>
    <row r="267" spans="1:20" ht="35.1" customHeight="1" collapsed="1" thickBot="1" x14ac:dyDescent="0.25">
      <c r="H267" s="225" t="s">
        <v>344</v>
      </c>
      <c r="I267" s="225"/>
      <c r="J267" s="82"/>
      <c r="K267" s="82"/>
      <c r="L267" s="82"/>
      <c r="M267" s="82"/>
      <c r="N267" s="82"/>
    </row>
  </sheetData>
  <mergeCells count="42">
    <mergeCell ref="H136:I136"/>
    <mergeCell ref="H1:K1"/>
    <mergeCell ref="H41:I41"/>
    <mergeCell ref="H37:I37"/>
    <mergeCell ref="H39:I39"/>
    <mergeCell ref="H2:N2"/>
    <mergeCell ref="H42:I42"/>
    <mergeCell ref="H43:I43"/>
    <mergeCell ref="H69:I69"/>
    <mergeCell ref="H71:I71"/>
    <mergeCell ref="H106:I106"/>
    <mergeCell ref="H19:I19"/>
    <mergeCell ref="H34:I34"/>
    <mergeCell ref="H99:I99"/>
    <mergeCell ref="H224:I224"/>
    <mergeCell ref="H225:I225"/>
    <mergeCell ref="H227:I227"/>
    <mergeCell ref="H228:I228"/>
    <mergeCell ref="H169:I169"/>
    <mergeCell ref="H206:I206"/>
    <mergeCell ref="H216:I216"/>
    <mergeCell ref="H142:I142"/>
    <mergeCell ref="H143:I143"/>
    <mergeCell ref="H156:I156"/>
    <mergeCell ref="H177:I177"/>
    <mergeCell ref="H196:I196"/>
    <mergeCell ref="H265:I265"/>
    <mergeCell ref="H267:I267"/>
    <mergeCell ref="H6:I6"/>
    <mergeCell ref="H7:I7"/>
    <mergeCell ref="H10:I10"/>
    <mergeCell ref="H16:I16"/>
    <mergeCell ref="H24:I24"/>
    <mergeCell ref="H27:I27"/>
    <mergeCell ref="H31:I31"/>
    <mergeCell ref="H232:I232"/>
    <mergeCell ref="H241:I241"/>
    <mergeCell ref="H250:I250"/>
    <mergeCell ref="H254:I254"/>
    <mergeCell ref="H258:I258"/>
    <mergeCell ref="H262:I262"/>
    <mergeCell ref="H231:I231"/>
  </mergeCells>
  <pageMargins left="0.39370078740157483" right="0.39370078740157483" top="0.59055118110236227" bottom="0.59055118110236227" header="0" footer="0"/>
  <pageSetup paperSize="9" scale="82" orientation="portrait" r:id="rId1"/>
  <headerFooter alignWithMargins="0">
    <oddHeader>&amp;L&amp;"Arial,Bold"&amp;K04-023KNJIŽNICE GRADA ZAGREBA
STARČEVIĆEV TRG 6
OIB: 93571946376</oddHeader>
    <oddFooter xml:space="preserve">&amp;C&amp;8 Stranica 
&amp;"Arial,Bold"&amp;P&amp;"Arial,Regular"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9"/>
  <sheetViews>
    <sheetView workbookViewId="0">
      <selection activeCell="F21" sqref="F21"/>
    </sheetView>
  </sheetViews>
  <sheetFormatPr defaultColWidth="8.7109375" defaultRowHeight="20.100000000000001" customHeight="1" x14ac:dyDescent="0.2"/>
  <cols>
    <col min="1" max="1" width="8.7109375" style="25"/>
    <col min="2" max="2" width="25.5703125" style="25" customWidth="1"/>
    <col min="3" max="5" width="14.5703125" style="25" customWidth="1"/>
    <col min="6" max="16384" width="8.7109375" style="25"/>
  </cols>
  <sheetData>
    <row r="3" spans="2:5" ht="20.100000000000001" customHeight="1" thickBot="1" x14ac:dyDescent="0.25">
      <c r="C3" s="231" t="s">
        <v>506</v>
      </c>
      <c r="D3" s="231"/>
      <c r="E3" s="231"/>
    </row>
    <row r="4" spans="2:5" ht="39.950000000000003" customHeight="1" thickBot="1" x14ac:dyDescent="0.25">
      <c r="C4" s="80" t="s">
        <v>596</v>
      </c>
      <c r="D4" s="80" t="s">
        <v>572</v>
      </c>
      <c r="E4" s="80" t="s">
        <v>597</v>
      </c>
    </row>
    <row r="5" spans="2:5" ht="21.95" customHeight="1" x14ac:dyDescent="0.2">
      <c r="B5" s="209" t="s">
        <v>507</v>
      </c>
      <c r="C5" s="120">
        <f>Sažetak!C6</f>
        <v>11509928.459999999</v>
      </c>
      <c r="D5" s="120">
        <f>Sažetak!D6</f>
        <v>25543600</v>
      </c>
      <c r="E5" s="120">
        <f>Sažetak!E6</f>
        <v>12779679.130000003</v>
      </c>
    </row>
    <row r="6" spans="2:5" ht="21.95" customHeight="1" x14ac:dyDescent="0.2">
      <c r="B6" s="209" t="s">
        <v>508</v>
      </c>
      <c r="C6" s="120">
        <f>'Po kontima'!C6</f>
        <v>11509928.459999999</v>
      </c>
      <c r="D6" s="120">
        <f>'Po kontima'!D6</f>
        <v>25543600</v>
      </c>
      <c r="E6" s="120">
        <f>'Po kontima'!E6</f>
        <v>12779679.130000001</v>
      </c>
    </row>
    <row r="7" spans="2:5" ht="21.95" customHeight="1" x14ac:dyDescent="0.2">
      <c r="B7" s="209" t="s">
        <v>509</v>
      </c>
      <c r="C7" s="120">
        <f>'Po izvorima'!C6</f>
        <v>11509928.459999999</v>
      </c>
      <c r="D7" s="120">
        <f>'Po izvorima'!D6</f>
        <v>25543600</v>
      </c>
      <c r="E7" s="120">
        <f>'Po izvorima'!E6</f>
        <v>12779679.130000001</v>
      </c>
    </row>
    <row r="8" spans="2:5" ht="21.95" customHeight="1" x14ac:dyDescent="0.2">
      <c r="B8" s="209" t="s">
        <v>510</v>
      </c>
      <c r="C8" s="120"/>
      <c r="D8" s="120"/>
      <c r="E8" s="120"/>
    </row>
    <row r="9" spans="2:5" ht="21.95" customHeight="1" x14ac:dyDescent="0.2">
      <c r="B9" s="209" t="s">
        <v>511</v>
      </c>
      <c r="C9" s="120">
        <f>Posebni_Dio!J6</f>
        <v>11509928.459999999</v>
      </c>
      <c r="D9" s="120">
        <f>Posebni_Dio!K6</f>
        <v>25543600</v>
      </c>
      <c r="E9" s="120">
        <f>Posebni_Dio!L6</f>
        <v>12779679.130000001</v>
      </c>
    </row>
    <row r="10" spans="2:5" ht="20.100000000000001" customHeight="1" x14ac:dyDescent="0.2">
      <c r="B10" s="209"/>
    </row>
    <row r="11" spans="2:5" ht="20.100000000000001" customHeight="1" thickBot="1" x14ac:dyDescent="0.25">
      <c r="B11" s="210"/>
      <c r="C11" s="231" t="s">
        <v>513</v>
      </c>
      <c r="D11" s="231"/>
      <c r="E11" s="231"/>
    </row>
    <row r="12" spans="2:5" ht="39.950000000000003" customHeight="1" thickBot="1" x14ac:dyDescent="0.25">
      <c r="B12" s="210"/>
      <c r="C12" s="80" t="s">
        <v>596</v>
      </c>
      <c r="D12" s="80" t="s">
        <v>572</v>
      </c>
      <c r="E12" s="80" t="s">
        <v>597</v>
      </c>
    </row>
    <row r="13" spans="2:5" ht="21.95" customHeight="1" x14ac:dyDescent="0.2">
      <c r="B13" s="209" t="s">
        <v>507</v>
      </c>
      <c r="C13" s="120">
        <f>Sažetak!C10</f>
        <v>11246298.220000012</v>
      </c>
      <c r="D13" s="120">
        <f>Sažetak!D10</f>
        <v>25543600</v>
      </c>
      <c r="E13" s="120">
        <f>Sažetak!E10</f>
        <v>12443169.619999997</v>
      </c>
    </row>
    <row r="14" spans="2:5" ht="21.95" customHeight="1" x14ac:dyDescent="0.2">
      <c r="B14" s="209" t="s">
        <v>508</v>
      </c>
      <c r="C14" s="120">
        <f>'Po kontima'!C26</f>
        <v>11246298.219999997</v>
      </c>
      <c r="D14" s="120">
        <f>'Po kontima'!D26</f>
        <v>25543600</v>
      </c>
      <c r="E14" s="120">
        <f>'Po kontima'!E26</f>
        <v>12443169.620000003</v>
      </c>
    </row>
    <row r="15" spans="2:5" ht="21.95" customHeight="1" x14ac:dyDescent="0.2">
      <c r="B15" s="209" t="s">
        <v>509</v>
      </c>
      <c r="C15" s="120">
        <f>'Po izvorima'!C17</f>
        <v>11246298.220000001</v>
      </c>
      <c r="D15" s="120">
        <f>'Po izvorima'!D17</f>
        <v>25543600</v>
      </c>
      <c r="E15" s="120">
        <f>'Po izvorima'!E17</f>
        <v>12443169.619999995</v>
      </c>
    </row>
    <row r="16" spans="2:5" ht="21.95" customHeight="1" x14ac:dyDescent="0.2">
      <c r="B16" s="209" t="s">
        <v>510</v>
      </c>
      <c r="C16" s="120">
        <f>Funkcionalna!C6</f>
        <v>11246298.220000003</v>
      </c>
      <c r="D16" s="120">
        <f>Funkcionalna!D6</f>
        <v>25543600</v>
      </c>
      <c r="E16" s="120">
        <f>Funkcionalna!E6</f>
        <v>12443169.619999997</v>
      </c>
    </row>
    <row r="17" spans="2:5" ht="21.95" customHeight="1" x14ac:dyDescent="0.2">
      <c r="B17" s="209" t="s">
        <v>511</v>
      </c>
      <c r="C17" s="120">
        <f>Posebni_Dio!J41</f>
        <v>11246298.220000003</v>
      </c>
      <c r="D17" s="120">
        <f>Posebni_Dio!K41</f>
        <v>25543600</v>
      </c>
      <c r="E17" s="120">
        <f>Posebni_Dio!L41</f>
        <v>12443169.619999997</v>
      </c>
    </row>
    <row r="19" spans="2:5" ht="20.100000000000001" customHeight="1" x14ac:dyDescent="0.2">
      <c r="C19" s="120">
        <f>C5-C13</f>
        <v>263630.23999998719</v>
      </c>
      <c r="D19" s="208" t="s">
        <v>595</v>
      </c>
      <c r="E19" s="120">
        <f>E5-E13</f>
        <v>336509.51000000536</v>
      </c>
    </row>
  </sheetData>
  <mergeCells count="2">
    <mergeCell ref="C3:E3"/>
    <mergeCell ref="C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Radni listovi</vt:lpstr>
      </vt:variant>
      <vt:variant>
        <vt:i4>22</vt:i4>
      </vt:variant>
      <vt:variant>
        <vt:lpstr>Imenovani rasponi</vt:lpstr>
      </vt:variant>
      <vt:variant>
        <vt:i4>22</vt:i4>
      </vt:variant>
    </vt:vector>
  </HeadingPairs>
  <TitlesOfParts>
    <vt:vector size="44" baseType="lpstr">
      <vt:lpstr>Izvorno_3</vt:lpstr>
      <vt:lpstr>Ostvarenje_2025_Arh_Prava</vt:lpstr>
      <vt:lpstr>Sheet2</vt:lpstr>
      <vt:lpstr>Sažetak</vt:lpstr>
      <vt:lpstr>Po kontima</vt:lpstr>
      <vt:lpstr>Po izvorima</vt:lpstr>
      <vt:lpstr>Funkcionalna</vt:lpstr>
      <vt:lpstr>Posebni_Dio</vt:lpstr>
      <vt:lpstr>CTRL</vt:lpstr>
      <vt:lpstr>Ctrl_Po izvorima</vt:lpstr>
      <vt:lpstr>Posebni_Dio_Bck_Up</vt:lpstr>
      <vt:lpstr>Za usporedbu</vt:lpstr>
      <vt:lpstr>Sheet1</vt:lpstr>
      <vt:lpstr>SYS</vt:lpstr>
      <vt:lpstr>Posebni dio-programska_2024</vt:lpstr>
      <vt:lpstr>KGZ-Real_RAS_2025_02</vt:lpstr>
      <vt:lpstr>KGZ-Real_RAS_2025_01</vt:lpstr>
      <vt:lpstr>KGZ_Real_PRI_2025</vt:lpstr>
      <vt:lpstr>Nova konta</vt:lpstr>
      <vt:lpstr>Ostvarenje_Po_Prog</vt:lpstr>
      <vt:lpstr>Ostvarenje_2025 (2)</vt:lpstr>
      <vt:lpstr>Izvorno_6</vt:lpstr>
      <vt:lpstr>'Ctrl_Po izvorima'!Ispis_naslova</vt:lpstr>
      <vt:lpstr>Funkcionalna!Ispis_naslova</vt:lpstr>
      <vt:lpstr>Izvorno_3!Ispis_naslova</vt:lpstr>
      <vt:lpstr>'KGZ-Real_RAS_2025_02'!Ispis_naslova</vt:lpstr>
      <vt:lpstr>'Po izvorima'!Ispis_naslova</vt:lpstr>
      <vt:lpstr>'Po kontima'!Ispis_naslova</vt:lpstr>
      <vt:lpstr>'Posebni dio-programska_2024'!Ispis_naslova</vt:lpstr>
      <vt:lpstr>Posebni_Dio!Ispis_naslova</vt:lpstr>
      <vt:lpstr>Posebni_Dio_Bck_Up!Ispis_naslova</vt:lpstr>
      <vt:lpstr>Sažetak!Ispis_naslova</vt:lpstr>
      <vt:lpstr>'Za usporedbu'!Ispis_naslova</vt:lpstr>
      <vt:lpstr>'Ctrl_Po izvorima'!Podrucje_ispisa</vt:lpstr>
      <vt:lpstr>Funkcionalna!Podrucje_ispisa</vt:lpstr>
      <vt:lpstr>'KGZ-Real_RAS_2025_01'!Podrucje_ispisa</vt:lpstr>
      <vt:lpstr>'KGZ-Real_RAS_2025_02'!Podrucje_ispisa</vt:lpstr>
      <vt:lpstr>'Po izvorima'!Podrucje_ispisa</vt:lpstr>
      <vt:lpstr>'Po kontima'!Podrucje_ispisa</vt:lpstr>
      <vt:lpstr>'Posebni dio-programska_2024'!Podrucje_ispisa</vt:lpstr>
      <vt:lpstr>Posebni_Dio!Podrucje_ispisa</vt:lpstr>
      <vt:lpstr>Posebni_Dio_Bck_Up!Podrucje_ispisa</vt:lpstr>
      <vt:lpstr>Sažetak!Podrucje_ispisa</vt:lpstr>
      <vt:lpstr>'Za usporedbu'!Podrucje_ispisa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2026-01-27T11:51:32Z</dcterms:created>
  <dcterms:modified xsi:type="dcterms:W3CDTF">2026-07-31T12:06:07Z</dcterms:modified>
</cp:coreProperties>
</file>